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ReynoldsConsumer.com\appleton\Groups\GeoSystems\RESOURCES\Design Tools\Calculations Masters\GeoTerra\For Customers-password for locked tool prestogeo321\"/>
    </mc:Choice>
  </mc:AlternateContent>
  <workbookProtection workbookAlgorithmName="SHA-512" workbookHashValue="nVw9b+Sl2GNBkmmWQsCK4x1BuowZa3QRoyONbHHHWzPbjIKBGSIbaIdaED6RGzXmWMmQxKWxmEp7h2Nu2GC8cg==" workbookSaltValue="C6uvrK+c0Tx7tNIoPw2h+w==" workbookSpinCount="100000" lockStructure="1"/>
  <bookViews>
    <workbookView xWindow="0" yWindow="0" windowWidth="17256" windowHeight="5772"/>
  </bookViews>
  <sheets>
    <sheet name="Construction Mat" sheetId="1" r:id="rId1"/>
    <sheet name="CBR Correlations" sheetId="9" r:id="rId2"/>
    <sheet name="Research Information" sheetId="10" r:id="rId3"/>
    <sheet name="English Units" sheetId="4" state="hidden" r:id="rId4"/>
    <sheet name="Metric Units" sheetId="8" state="hidden" r:id="rId5"/>
    <sheet name="Data" sheetId="2" state="hidden" r:id="rId6"/>
  </sheets>
  <definedNames>
    <definedName name="AggProduct">Table7[Product]</definedName>
    <definedName name="Blank">Table6[Blank]</definedName>
    <definedName name="English">#REF!</definedName>
    <definedName name="Metric">#REF!</definedName>
    <definedName name="_xlnm.Print_Area" localSheetId="0">'Construction Mat'!$A$1:$E$59</definedName>
    <definedName name="_xlnm.Print_Area" localSheetId="3">'English Units'!$A$1:$I$48</definedName>
    <definedName name="_xlnm.Print_Area" localSheetId="4">'Metric Units'!$A$1:$I$48</definedName>
    <definedName name="Type">#REF!</definedName>
    <definedName name="VegProduct">#REF!</definedName>
  </definedNames>
  <calcPr calcId="162913" iterateCount="15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8" i="1" l="1"/>
  <c r="A20" i="1"/>
  <c r="A19" i="1"/>
  <c r="C7" i="1" l="1"/>
  <c r="D19" i="1" l="1"/>
  <c r="I53" i="1"/>
  <c r="I52" i="1"/>
  <c r="A30" i="1"/>
  <c r="D24" i="1"/>
  <c r="B1" i="1" l="1"/>
  <c r="C24" i="1"/>
  <c r="A24" i="1" s="1"/>
  <c r="A25" i="1" l="1"/>
  <c r="A27" i="1" l="1"/>
  <c r="C27" i="1" s="1"/>
  <c r="A26" i="1"/>
  <c r="C26" i="1" s="1"/>
  <c r="A32" i="1" l="1"/>
  <c r="J51" i="1"/>
  <c r="G52" i="1"/>
  <c r="D21" i="1"/>
  <c r="A21" i="1"/>
  <c r="C19" i="1"/>
  <c r="C20" i="1" l="1"/>
  <c r="A22" i="1"/>
  <c r="D22" i="1" s="1"/>
  <c r="C11" i="1"/>
  <c r="D18" i="1" l="1"/>
  <c r="A31" i="1" l="1"/>
  <c r="B33" i="9" l="1"/>
  <c r="B32" i="9"/>
  <c r="D17" i="1" l="1"/>
  <c r="D13" i="1" l="1"/>
  <c r="A13" i="1"/>
  <c r="A14" i="1"/>
  <c r="A12" i="1"/>
  <c r="D14" i="1" l="1"/>
  <c r="D12" i="1"/>
  <c r="C13" i="1" l="1"/>
  <c r="G10" i="1" s="1"/>
  <c r="I10" i="1" l="1"/>
  <c r="J10" i="1"/>
  <c r="H10" i="1"/>
  <c r="C12" i="1"/>
  <c r="G9" i="1" l="1"/>
  <c r="J9" i="1" l="1"/>
  <c r="H9" i="1"/>
  <c r="I9" i="1"/>
  <c r="S8" i="8" l="1"/>
  <c r="R8" i="4"/>
  <c r="B2" i="4" l="1"/>
  <c r="D6" i="1" l="1"/>
  <c r="I2" i="8" l="1"/>
  <c r="B2" i="8"/>
  <c r="I2" i="4"/>
  <c r="K15" i="8" l="1"/>
  <c r="O15" i="8" s="1"/>
  <c r="D27" i="8"/>
  <c r="G27" i="8" s="1"/>
  <c r="D27" i="4"/>
  <c r="G27" i="4" s="1"/>
  <c r="B22" i="8"/>
  <c r="C14" i="1"/>
  <c r="E14" i="1" s="1"/>
  <c r="B32" i="4"/>
  <c r="B22" i="4"/>
  <c r="O2" i="8"/>
  <c r="C36" i="8"/>
  <c r="B33" i="8"/>
  <c r="K14" i="8"/>
  <c r="O14" i="8" s="1"/>
  <c r="P13" i="8"/>
  <c r="N13" i="8"/>
  <c r="O12" i="8"/>
  <c r="K12" i="8"/>
  <c r="P14" i="8" s="1"/>
  <c r="P11" i="8"/>
  <c r="N11" i="8"/>
  <c r="O10" i="8"/>
  <c r="K10" i="8"/>
  <c r="P10" i="8" s="1"/>
  <c r="Q9" i="8"/>
  <c r="N9" i="8"/>
  <c r="K6" i="8"/>
  <c r="P6" i="8" s="1"/>
  <c r="C6" i="8"/>
  <c r="G19" i="1" l="1"/>
  <c r="H19" i="1"/>
  <c r="H20" i="1" s="1"/>
  <c r="G11" i="1"/>
  <c r="H27" i="8"/>
  <c r="B31" i="4"/>
  <c r="P12" i="8"/>
  <c r="B31" i="8"/>
  <c r="B32" i="8"/>
  <c r="E5" i="8" s="1"/>
  <c r="D41" i="8"/>
  <c r="G20" i="1" l="1"/>
  <c r="G21" i="1" s="1"/>
  <c r="C21" i="1"/>
  <c r="H23" i="1" s="1"/>
  <c r="H11" i="1"/>
  <c r="H12" i="1" s="1"/>
  <c r="I11" i="1"/>
  <c r="I12" i="1" s="1"/>
  <c r="J11" i="1"/>
  <c r="J12" i="1" s="1"/>
  <c r="G12" i="1"/>
  <c r="S7" i="8"/>
  <c r="S15" i="8" s="1"/>
  <c r="R7" i="4"/>
  <c r="D5" i="8"/>
  <c r="C43" i="8" s="1"/>
  <c r="G23" i="1" l="1"/>
  <c r="G26" i="1" s="1"/>
  <c r="H26" i="1"/>
  <c r="H24" i="1"/>
  <c r="H25" i="1" s="1"/>
  <c r="G13" i="1"/>
  <c r="R15" i="4"/>
  <c r="E6" i="8"/>
  <c r="G24" i="1" l="1"/>
  <c r="G25" i="1" s="1"/>
  <c r="C25" i="1" s="1"/>
  <c r="D25" i="1" s="1"/>
  <c r="O2" i="4"/>
  <c r="G20" i="2"/>
  <c r="C20" i="2"/>
  <c r="F17" i="2"/>
  <c r="G17" i="2" s="1"/>
  <c r="C17" i="2"/>
  <c r="K14" i="2"/>
  <c r="F14" i="2"/>
  <c r="G14" i="2" s="1"/>
  <c r="C14" i="2"/>
  <c r="K11" i="2"/>
  <c r="F11" i="2"/>
  <c r="G11" i="2" s="1"/>
  <c r="C11" i="2"/>
  <c r="K8" i="2"/>
  <c r="F8" i="2"/>
  <c r="G8" i="2" s="1"/>
  <c r="C8" i="2"/>
  <c r="K5" i="2"/>
  <c r="F5" i="2"/>
  <c r="G5" i="2" s="1"/>
  <c r="C5" i="2"/>
  <c r="D41" i="4"/>
  <c r="C36" i="4"/>
  <c r="B33" i="4"/>
  <c r="H27" i="4"/>
  <c r="K15" i="4"/>
  <c r="O15" i="4" s="1"/>
  <c r="P14" i="4"/>
  <c r="K14" i="4"/>
  <c r="O14" i="4" s="1"/>
  <c r="P13" i="4"/>
  <c r="N13" i="4"/>
  <c r="O12" i="4"/>
  <c r="K12" i="4"/>
  <c r="P11" i="4"/>
  <c r="N11" i="4"/>
  <c r="K10" i="4"/>
  <c r="P10" i="4" s="1"/>
  <c r="Q9" i="4"/>
  <c r="N9" i="4"/>
  <c r="K6" i="4"/>
  <c r="P6" i="4" s="1"/>
  <c r="C6" i="4"/>
  <c r="E5" i="4"/>
  <c r="D5" i="4"/>
  <c r="C43" i="4" s="1"/>
  <c r="E46" i="1" l="1"/>
  <c r="E50" i="1"/>
  <c r="E47" i="1"/>
  <c r="E49" i="1"/>
  <c r="E51" i="1" s="1"/>
  <c r="A33" i="1"/>
  <c r="E48" i="1"/>
  <c r="E6" i="4"/>
  <c r="P12" i="4"/>
  <c r="O10" i="4"/>
  <c r="H52" i="1" l="1"/>
  <c r="G53" i="1"/>
  <c r="J53" i="1" s="1"/>
  <c r="R20" i="4" l="1"/>
  <c r="S20" i="4" s="1"/>
  <c r="B19" i="4" s="1"/>
  <c r="C19" i="4" s="1"/>
  <c r="R20" i="8"/>
  <c r="S20" i="8" s="1"/>
  <c r="B19" i="8" s="1"/>
  <c r="L11" i="4" l="1"/>
  <c r="O11" i="4" s="1"/>
  <c r="L13" i="4"/>
  <c r="O13" i="4" s="1"/>
  <c r="L7" i="4"/>
  <c r="L9" i="4"/>
  <c r="O9" i="4" s="1"/>
  <c r="P9" i="4" s="1"/>
  <c r="L11" i="8"/>
  <c r="O11" i="8" s="1"/>
  <c r="L7" i="8"/>
  <c r="C19" i="8"/>
  <c r="L9" i="8"/>
  <c r="O9" i="8" s="1"/>
  <c r="P9" i="8" s="1"/>
  <c r="L13" i="8"/>
  <c r="O13" i="8" s="1"/>
  <c r="C7" i="8" l="1"/>
  <c r="E7" i="8" s="1"/>
  <c r="F7" i="8" s="1"/>
  <c r="G7" i="8" s="1"/>
  <c r="H7" i="8" s="1"/>
  <c r="I7" i="8" s="1"/>
  <c r="D19" i="8"/>
  <c r="N7" i="8"/>
  <c r="O7" i="8" s="1"/>
  <c r="P7" i="8" s="1"/>
  <c r="C31" i="4"/>
  <c r="C31" i="8"/>
  <c r="C7" i="4" l="1"/>
  <c r="E7" i="4" s="1"/>
  <c r="N7" i="4"/>
  <c r="O7" i="4" s="1"/>
  <c r="P7" i="4" s="1"/>
  <c r="F7" i="4" l="1"/>
  <c r="G7" i="4" s="1"/>
  <c r="H7" i="4" s="1"/>
  <c r="I7" i="4" s="1"/>
  <c r="D19" i="4"/>
  <c r="J52" i="1" l="1"/>
  <c r="J54" i="1"/>
  <c r="J55" i="1" l="1"/>
  <c r="C8" i="4"/>
  <c r="C9" i="4" s="1"/>
  <c r="C10" i="4" s="1"/>
  <c r="C11" i="4" s="1"/>
  <c r="C12" i="4" s="1"/>
  <c r="C13" i="4" s="1"/>
  <c r="C14" i="4" s="1"/>
  <c r="K8" i="4"/>
  <c r="O8" i="4" s="1"/>
  <c r="P8" i="4"/>
  <c r="Q8" i="4" s="1"/>
  <c r="C15" i="4"/>
  <c r="E8" i="4" l="1"/>
  <c r="E9" i="4" s="1"/>
  <c r="P15" i="4"/>
  <c r="E23" i="4"/>
  <c r="B26" i="4"/>
  <c r="E28" i="4" s="1"/>
  <c r="D43" i="4"/>
  <c r="F9" i="4" l="1"/>
  <c r="G9" i="4" s="1"/>
  <c r="H9" i="4" s="1"/>
  <c r="I9" i="4" s="1"/>
  <c r="E10" i="4" s="1"/>
  <c r="E11" i="4" s="1"/>
  <c r="F11" i="4" l="1"/>
  <c r="G11" i="4" s="1"/>
  <c r="H11" i="4" s="1"/>
  <c r="I11" i="4" s="1"/>
  <c r="E12" i="4" s="1"/>
  <c r="E13" i="4" l="1"/>
  <c r="F13" i="4" s="1"/>
  <c r="G13" i="4" s="1"/>
  <c r="H13" i="4" s="1"/>
  <c r="I13" i="4" l="1"/>
  <c r="E14" i="4" s="1"/>
  <c r="E15" i="4"/>
  <c r="D40" i="4" l="1"/>
  <c r="D42" i="4" s="1"/>
  <c r="S7" i="4" l="1"/>
  <c r="S8" i="4" s="1"/>
  <c r="E42" i="4"/>
  <c r="S15" i="4"/>
  <c r="S17" i="4" l="1"/>
  <c r="C8" i="8"/>
  <c r="C9" i="8" s="1"/>
  <c r="C10" i="8" s="1"/>
  <c r="C11" i="8" s="1"/>
  <c r="C12" i="8" s="1"/>
  <c r="C13" i="8" s="1"/>
  <c r="C14" i="8" s="1"/>
  <c r="E8" i="8"/>
  <c r="K8" i="8"/>
  <c r="O8" i="8"/>
  <c r="P8" i="8"/>
  <c r="Q8" i="8" s="1"/>
  <c r="C15" i="8"/>
  <c r="E9" i="8" l="1"/>
  <c r="P15" i="8"/>
  <c r="E23" i="8"/>
  <c r="B26" i="8"/>
  <c r="E28" i="8" s="1"/>
  <c r="D43" i="8"/>
  <c r="F9" i="8" l="1"/>
  <c r="G9" i="8" s="1"/>
  <c r="H9" i="8" s="1"/>
  <c r="I9" i="8" s="1"/>
  <c r="E10" i="8" s="1"/>
  <c r="E11" i="8" l="1"/>
  <c r="F11" i="8" l="1"/>
  <c r="G11" i="8" s="1"/>
  <c r="H11" i="8" s="1"/>
  <c r="I11" i="8" s="1"/>
  <c r="E12" i="8" s="1"/>
  <c r="E13" i="8" l="1"/>
  <c r="F13" i="8" l="1"/>
  <c r="G13" i="8" s="1"/>
  <c r="H13" i="8" s="1"/>
  <c r="I13" i="8" s="1"/>
  <c r="E14" i="8" s="1"/>
  <c r="E15" i="8"/>
  <c r="D40" i="8" l="1"/>
  <c r="D42" i="8" s="1"/>
  <c r="R7" i="8" l="1"/>
  <c r="R8" i="8" s="1"/>
  <c r="E42" i="8"/>
  <c r="R15" i="8"/>
  <c r="R17" i="8" l="1"/>
</calcChain>
</file>

<file path=xl/comments1.xml><?xml version="1.0" encoding="utf-8"?>
<comments xmlns="http://schemas.openxmlformats.org/spreadsheetml/2006/main">
  <authors>
    <author>Daniel F Senf</author>
    <author>Justice, Sam</author>
  </authors>
  <commentList>
    <comment ref="B33" authorId="0" shapeId="0">
      <text>
        <r>
          <rPr>
            <b/>
            <sz val="8"/>
            <color indexed="81"/>
            <rFont val="Tahoma"/>
            <family val="2"/>
          </rPr>
          <t>Angle has preference. Enter 0 in angle input cell if H:V ratio is preferred.</t>
        </r>
      </text>
    </comment>
    <comment ref="B34" authorId="1" shapeId="0">
      <text>
        <r>
          <rPr>
            <b/>
            <sz val="9"/>
            <color indexed="81"/>
            <rFont val="Tahoma"/>
            <family val="2"/>
          </rPr>
          <t>Justice, Sam:</t>
        </r>
        <r>
          <rPr>
            <sz val="9"/>
            <color indexed="81"/>
            <rFont val="Tahoma"/>
            <family val="2"/>
          </rPr>
          <t xml:space="preserve">
95% is the acccepted value.  Can be as low as 90%, but it is unlikely.</t>
        </r>
      </text>
    </comment>
    <comment ref="B36" authorId="1" shapeId="0">
      <text>
        <r>
          <rPr>
            <b/>
            <sz val="9"/>
            <color indexed="81"/>
            <rFont val="Tahoma"/>
            <family val="2"/>
          </rPr>
          <t>Justice, Sam:</t>
        </r>
        <r>
          <rPr>
            <sz val="9"/>
            <color indexed="81"/>
            <rFont val="Tahoma"/>
            <family val="2"/>
          </rPr>
          <t xml:space="preserve">
Varies between 2.8 and 6.0
1. Non-woven = 2.8
2. Woven = 3.3 - 6.0 based on strength of woven material
3. HP270 (2600lb/ft) = 3.3 - 3.7
4. HP570 (4800lb/ft) = 4.3 - 5.7</t>
        </r>
      </text>
    </comment>
  </commentList>
</comments>
</file>

<file path=xl/comments2.xml><?xml version="1.0" encoding="utf-8"?>
<comments xmlns="http://schemas.openxmlformats.org/spreadsheetml/2006/main">
  <authors>
    <author>Daniel F Senf</author>
    <author>Justice, Sam</author>
  </authors>
  <commentList>
    <comment ref="B33" authorId="0" shapeId="0">
      <text>
        <r>
          <rPr>
            <b/>
            <sz val="8"/>
            <color indexed="81"/>
            <rFont val="Tahoma"/>
            <family val="2"/>
          </rPr>
          <t>Angle has preference. Enter 0 in angle input cell if H:V ratio is preferred.</t>
        </r>
      </text>
    </comment>
    <comment ref="B34" authorId="1" shapeId="0">
      <text>
        <r>
          <rPr>
            <b/>
            <sz val="9"/>
            <color indexed="81"/>
            <rFont val="Tahoma"/>
            <family val="2"/>
          </rPr>
          <t>Justice, Sam:</t>
        </r>
        <r>
          <rPr>
            <sz val="9"/>
            <color indexed="81"/>
            <rFont val="Tahoma"/>
            <family val="2"/>
          </rPr>
          <t xml:space="preserve">
95% is the acccepted value.  Can be as low as 90%, but it is unlikely.</t>
        </r>
      </text>
    </comment>
    <comment ref="B36" authorId="1" shapeId="0">
      <text>
        <r>
          <rPr>
            <b/>
            <sz val="9"/>
            <color indexed="81"/>
            <rFont val="Tahoma"/>
            <family val="2"/>
          </rPr>
          <t>Justice, Sam:</t>
        </r>
        <r>
          <rPr>
            <sz val="9"/>
            <color indexed="81"/>
            <rFont val="Tahoma"/>
            <family val="2"/>
          </rPr>
          <t xml:space="preserve">
Varies between 2.8 and 6.0
1. Non-woven = 2.8
2. Woven = 3.3 - 6.0 based on strength of woven material
3. HP270 (2600lb/ft) = 3.3 - 3.7
4. HP570 (4800lb/ft) = 4.3 - 5.7</t>
        </r>
      </text>
    </comment>
  </commentList>
</comments>
</file>

<file path=xl/sharedStrings.xml><?xml version="1.0" encoding="utf-8"?>
<sst xmlns="http://schemas.openxmlformats.org/spreadsheetml/2006/main" count="340" uniqueCount="179">
  <si>
    <t>Vehicle</t>
  </si>
  <si>
    <t>H-20</t>
  </si>
  <si>
    <t>H-15</t>
  </si>
  <si>
    <t>H-10</t>
  </si>
  <si>
    <t>Passenger</t>
  </si>
  <si>
    <t>Subgrade Strength Type</t>
  </si>
  <si>
    <t>Surface</t>
  </si>
  <si>
    <t>Vegetated</t>
  </si>
  <si>
    <t>Aggregate</t>
  </si>
  <si>
    <t>Geoweb</t>
  </si>
  <si>
    <t xml:space="preserve"> </t>
  </si>
  <si>
    <t>INPUT PARAMETERS</t>
  </si>
  <si>
    <t>Vehicle Type</t>
  </si>
  <si>
    <t>English or Metric</t>
  </si>
  <si>
    <t>E</t>
  </si>
  <si>
    <t>M</t>
  </si>
  <si>
    <t>CBR</t>
  </si>
  <si>
    <t>Geosystems Product</t>
  </si>
  <si>
    <t>Ground Slope (%)</t>
  </si>
  <si>
    <t>Subgrade Strength Parameter</t>
  </si>
  <si>
    <t>DESIGN GUIDELINES</t>
  </si>
  <si>
    <t>Typical Access Description</t>
  </si>
  <si>
    <t>Notes:</t>
  </si>
  <si>
    <t>Sand</t>
  </si>
  <si>
    <t>Clay</t>
  </si>
  <si>
    <t>Type</t>
  </si>
  <si>
    <t>Blank</t>
  </si>
  <si>
    <t>Prepared Sub Grade</t>
  </si>
  <si>
    <t>STRESS REDUCTION USING GENUINE GEOWEB SYSTEM</t>
  </si>
  <si>
    <t>PROJECT</t>
  </si>
  <si>
    <t>DATE</t>
  </si>
  <si>
    <t>Geoweb System Stress Reduction</t>
  </si>
  <si>
    <t>Layer Type</t>
  </si>
  <si>
    <t>Layer Thickness (in)</t>
  </si>
  <si>
    <t>Depth from Surface (in)</t>
  </si>
  <si>
    <t>Radius of Loaded Area (in)</t>
  </si>
  <si>
    <t>Stress at Bottom of Layer (psi)</t>
  </si>
  <si>
    <t>The Geoweb System Benefit</t>
  </si>
  <si>
    <t>Vertical Stress (psi)</t>
  </si>
  <si>
    <t>Horizontal Stress (psi)</t>
  </si>
  <si>
    <t>Stress Reduction (psi)</t>
  </si>
  <si>
    <t>New Stress under Geoweb (psi)</t>
  </si>
  <si>
    <t>Wear Surface</t>
  </si>
  <si>
    <t>"</t>
  </si>
  <si>
    <t xml:space="preserve"> Wear Surface</t>
  </si>
  <si>
    <t>Geoweb Layer</t>
  </si>
  <si>
    <t xml:space="preserve">Geoweb Layer </t>
  </si>
  <si>
    <t>V</t>
  </si>
  <si>
    <t xml:space="preserve"> Aggregate</t>
  </si>
  <si>
    <t xml:space="preserve"> Layer</t>
  </si>
  <si>
    <t>2nd Geoweb Layer</t>
  </si>
  <si>
    <t>3rd Geoweb Layer</t>
  </si>
  <si>
    <t>4th Geoweb Layer</t>
  </si>
  <si>
    <t>Geotextile</t>
  </si>
  <si>
    <t xml:space="preserve"> Geotextile</t>
  </si>
  <si>
    <t>Geoweb Layers must be either 4, 6 or 8 in.</t>
  </si>
  <si>
    <t>Cell Size</t>
  </si>
  <si>
    <t>Diameter</t>
  </si>
  <si>
    <t>Depth (in)</t>
  </si>
  <si>
    <t>Geoweb Infill</t>
  </si>
  <si>
    <r>
      <t>Unit Weight (lb/ft</t>
    </r>
    <r>
      <rPr>
        <b/>
        <vertAlign val="superscript"/>
        <sz val="10"/>
        <rFont val="Arial"/>
        <family val="2"/>
      </rPr>
      <t>3</t>
    </r>
    <r>
      <rPr>
        <b/>
        <sz val="10"/>
        <rFont val="Arial"/>
        <family val="2"/>
      </rPr>
      <t>)</t>
    </r>
  </si>
  <si>
    <t>Friction Angle</t>
  </si>
  <si>
    <t>Added Stress (psi)</t>
  </si>
  <si>
    <t>Properties</t>
  </si>
  <si>
    <t>Below Geoweb</t>
  </si>
  <si>
    <t>Depth
(in)</t>
  </si>
  <si>
    <t>Shear Strength (psi)</t>
  </si>
  <si>
    <t>Reduced Stress (psi)</t>
  </si>
  <si>
    <t>Other Properties:
CBR</t>
  </si>
  <si>
    <t>Other Properties:
 R Value</t>
  </si>
  <si>
    <t>Excavation</t>
  </si>
  <si>
    <t>Subgrade</t>
  </si>
  <si>
    <t>Required Design Data</t>
  </si>
  <si>
    <t>Wheel Load (lbf)</t>
  </si>
  <si>
    <t>Tire Pressure (psi)</t>
  </si>
  <si>
    <t>Distribution Angle</t>
  </si>
  <si>
    <t>H =</t>
  </si>
  <si>
    <t>V =</t>
  </si>
  <si>
    <t>OR</t>
  </si>
  <si>
    <t>Angle =</t>
  </si>
  <si>
    <t>% Frictional Interaction</t>
  </si>
  <si>
    <t>Geotextile Type</t>
  </si>
  <si>
    <r>
      <t>Bearing Capacity Coefficient (N</t>
    </r>
    <r>
      <rPr>
        <b/>
        <vertAlign val="subscript"/>
        <sz val="10"/>
        <rFont val="Arial"/>
        <family val="2"/>
      </rPr>
      <t>c</t>
    </r>
    <r>
      <rPr>
        <b/>
        <sz val="10"/>
        <rFont val="Arial"/>
        <family val="2"/>
      </rPr>
      <t>)</t>
    </r>
  </si>
  <si>
    <t>Design Factor of Safety</t>
  </si>
  <si>
    <t>Design Results</t>
  </si>
  <si>
    <r>
      <t>Stress on Subgrade per Design, Q</t>
    </r>
    <r>
      <rPr>
        <b/>
        <vertAlign val="subscript"/>
        <sz val="12"/>
        <rFont val="Arial"/>
        <family val="2"/>
      </rPr>
      <t>ultimate</t>
    </r>
    <r>
      <rPr>
        <b/>
        <sz val="10"/>
        <rFont val="Arial"/>
        <family val="2"/>
      </rPr>
      <t xml:space="preserve"> (psi)</t>
    </r>
  </si>
  <si>
    <r>
      <t>Allowable Subgrade Stress, Q</t>
    </r>
    <r>
      <rPr>
        <b/>
        <vertAlign val="subscript"/>
        <sz val="12"/>
        <rFont val="Arial"/>
        <family val="2"/>
      </rPr>
      <t>allowable</t>
    </r>
    <r>
      <rPr>
        <b/>
        <sz val="10"/>
        <rFont val="Arial"/>
        <family val="2"/>
      </rPr>
      <t xml:space="preserve"> (psi)</t>
    </r>
  </si>
  <si>
    <t>Calculated Factor of Safety</t>
  </si>
  <si>
    <t>Reduction in Required Load Depth</t>
  </si>
  <si>
    <t>Limitation of Use:</t>
  </si>
  <si>
    <t>The Evaluation is copyrighted and based on the use of Geoweb® manufactured by Presto Products.  All rights reserved.  Any use of the Evaluation for any geocell product other than that manufactured by Presto Products is strictly prohibited and makes this Evaluation invalid.  Presto Products assumes no liability resulting from the unauthorized use of this Evaluation.  The recommendations in this Evaluation are based on the specific characteristics, structural values and specifications of Geoweb® manufactured by Presto Products.</t>
  </si>
  <si>
    <t>Conversions needed for Designs</t>
  </si>
  <si>
    <t>English to Metric</t>
  </si>
  <si>
    <t>Metric to English</t>
  </si>
  <si>
    <t>Metric to Metric</t>
  </si>
  <si>
    <t>inches</t>
  </si>
  <si>
    <t>to</t>
  </si>
  <si>
    <t>meters</t>
  </si>
  <si>
    <t>kg/m2</t>
  </si>
  <si>
    <t>kPa</t>
  </si>
  <si>
    <t>psi</t>
  </si>
  <si>
    <t>kgf</t>
  </si>
  <si>
    <t>N</t>
  </si>
  <si>
    <t>lbf</t>
  </si>
  <si>
    <t>kN</t>
  </si>
  <si>
    <t>lb/ft3</t>
  </si>
  <si>
    <t>kg/m3</t>
  </si>
  <si>
    <t>lbs</t>
  </si>
  <si>
    <t>lb/ft2</t>
  </si>
  <si>
    <t>kg</t>
  </si>
  <si>
    <t>Units</t>
  </si>
  <si>
    <t>Soil</t>
  </si>
  <si>
    <t>Layer Thickness (m)</t>
  </si>
  <si>
    <t>Depth from Surface (m)</t>
  </si>
  <si>
    <t>Radius of Loaded Area (m)</t>
  </si>
  <si>
    <t>Stress at Bottom of Layer (kPa)</t>
  </si>
  <si>
    <t>Vertical Stress (kPa)</t>
  </si>
  <si>
    <t>Horizontal Stress (kPa)</t>
  </si>
  <si>
    <t>Stress Reduction (kPa)</t>
  </si>
  <si>
    <t>New Stress (kPa)</t>
  </si>
  <si>
    <t xml:space="preserve"> mm</t>
  </si>
  <si>
    <t>Depth (m)</t>
  </si>
  <si>
    <t>Unit Weight (kg/m3)</t>
  </si>
  <si>
    <t>Added Stress (kPa)</t>
  </si>
  <si>
    <t>Depth
(m)</t>
  </si>
  <si>
    <t>Shear Strength (pKa)</t>
  </si>
  <si>
    <t>Reduced Stress (kPa)</t>
  </si>
  <si>
    <t>Wheel Load (kN)</t>
  </si>
  <si>
    <t>Tire Pressure (kPa)</t>
  </si>
  <si>
    <r>
      <t>Stress on Subgrade per Design, Q</t>
    </r>
    <r>
      <rPr>
        <b/>
        <vertAlign val="subscript"/>
        <sz val="12"/>
        <rFont val="Arial"/>
        <family val="2"/>
      </rPr>
      <t>ultimate</t>
    </r>
    <r>
      <rPr>
        <b/>
        <sz val="10"/>
        <rFont val="Arial"/>
        <family val="2"/>
      </rPr>
      <t xml:space="preserve"> (kPa)</t>
    </r>
  </si>
  <si>
    <r>
      <t>Allowable Subgrade Stress, Q</t>
    </r>
    <r>
      <rPr>
        <b/>
        <vertAlign val="subscript"/>
        <sz val="12"/>
        <rFont val="Arial"/>
        <family val="2"/>
      </rPr>
      <t>allowable</t>
    </r>
    <r>
      <rPr>
        <b/>
        <sz val="10"/>
        <rFont val="Arial"/>
        <family val="2"/>
      </rPr>
      <t xml:space="preserve"> (kPa)</t>
    </r>
  </si>
  <si>
    <t>Non-woven</t>
  </si>
  <si>
    <t>TODAY</t>
  </si>
  <si>
    <t>Subgrade Strength Value (%)</t>
  </si>
  <si>
    <t>California Bearing Ratio</t>
  </si>
  <si>
    <t>CBR Correlation Descriptions</t>
  </si>
  <si>
    <t>System</t>
  </si>
  <si>
    <t xml:space="preserve"> Application and Installation Guide for a complete description of the design and construction methods.</t>
  </si>
  <si>
    <t>Input values are in blue</t>
  </si>
  <si>
    <t>Disclaimer: This tool is for use as a guide for design purposes. It is based on the use of products manufactured by Presto Products Company. Any use of this design for any product other than that manufactured by Presto makes this design invalid. A licensed professional should confirm results and integrate as appropriate.</t>
  </si>
  <si>
    <t>0-2</t>
  </si>
  <si>
    <t>3-6</t>
  </si>
  <si>
    <t>7-10</t>
  </si>
  <si>
    <t>&gt;10</t>
  </si>
  <si>
    <t>Sub Grade Soil Type</t>
  </si>
  <si>
    <t>Product</t>
  </si>
  <si>
    <t>Structural Equivalency in Crushed Aggregate</t>
  </si>
  <si>
    <t>qa = Nc x Cu</t>
  </si>
  <si>
    <t>Bearing Capacity Coefficient (Nc) =</t>
  </si>
  <si>
    <t>AASHTO vehicle loading standards. If heavier vehicles are used, input specific values below.</t>
  </si>
  <si>
    <t>Construction Mat</t>
  </si>
  <si>
    <t>Construction Mats Using The</t>
  </si>
  <si>
    <t>To determine the structural requirements for this installation, structural equivalency factors will be used to compare GeoTerra to other solutions.  Structural equivalency factors were determined through field testing conducted in the late 1980’s by Twin Cities Testing Corporation, Appleton, Wisconsin.  The following structural equivalency factors have been used to design GeoTerra platforms and roads for over 20 years and included the following:</t>
  </si>
  <si>
    <t>Further research included large scale cyclic plate loading tests by world renowned geotechnical Professor Jie Han, PhD, University of Kansas:</t>
  </si>
  <si>
    <t>Field Testing:</t>
  </si>
  <si>
    <t>• 2” GeoTerra = 3.06” Asphalt</t>
  </si>
  <si>
    <t>• 2” Asphalt Concrete = 6.4” Crushed Aggregate Base</t>
  </si>
  <si>
    <t>• 2” GeoTerra = 12” Crushed Aggregate Base</t>
  </si>
  <si>
    <t>Lab Testing:</t>
  </si>
  <si>
    <t>• Han, J., PhD., Guo J., Crippen, L., Brady, Z., “Large Scale Cyclic Plate Loading Tests of Lightweight Polyethylene Mats over Poor Subgrade - GeoTerra System”, Research Report, University of Kansas, April 11, 2014.</t>
  </si>
  <si>
    <t>• Han, J., PhD., Guo, Jun, “Large Scale Cyclic Plate Loading Tests of Lightweight Polyethylene Mats over Poor Subgrade - GeoTerra GTO System”, Research Report, University of Kansas, October 15, 2015.</t>
  </si>
  <si>
    <t>Basic Research Information</t>
  </si>
  <si>
    <t>Please contact Presto Geosystems for more information about the research performed and access to testing results and published papers.</t>
  </si>
  <si>
    <t>GeoTerra</t>
  </si>
  <si>
    <t>GeoTerra GTO</t>
  </si>
  <si>
    <t>Enhanced Woven</t>
  </si>
  <si>
    <t xml:space="preserve">2. Refer to the </t>
  </si>
  <si>
    <t>Geotextile (See Note 1)</t>
  </si>
  <si>
    <t>3. Material Descriptions</t>
  </si>
  <si>
    <t>Req'd Agg</t>
  </si>
  <si>
    <t>Thickness W/O "</t>
  </si>
  <si>
    <t>Thickness W/O mm</t>
  </si>
  <si>
    <t>GTO Bolt Connectors (6 per panel) and Driver Tool</t>
  </si>
  <si>
    <t>PadLoc Connection Devices (6 per panel), Lifting Lever, and Torsion Tool</t>
  </si>
  <si>
    <t>1. If the CBR &lt; 3% or has a high silt content (&gt; 15%) and low plasticity (PI &lt; 5%), an enhanced woven geotextile is recommended. Contact Presto for more details (Ph: 800-548-3424).</t>
  </si>
  <si>
    <t>4. If the clay has a high silt content (&gt; 15%), an enhanced woven geotextile may be required. Contact Presto for more details (Ph: 800-548-3424).</t>
  </si>
  <si>
    <t>B. Crushed aggregate base shall be 0.375 to 1.0 (10 to 25 mm).  Engineer of record shall design base stability.</t>
  </si>
  <si>
    <t>PRXXXX - Name</t>
  </si>
  <si>
    <t>A. The units can be driven on empty.  The units can be filled (sand or aggregate) to control expansion due to temperature variations.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</si>
</sst>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_(* \(#,##0.00\);_(* &quot;-&quot;??_);_(@_)"/>
    <numFmt numFmtId="164" formatCode="m/d/yy;@"/>
    <numFmt numFmtId="165" formatCode="0.00\ \i\n"/>
    <numFmt numFmtId="166" formatCode="0.000"/>
    <numFmt numFmtId="167" formatCode="0.00_);[Red]\(0.00\)"/>
    <numFmt numFmtId="168" formatCode="0.0"/>
    <numFmt numFmtId="169" formatCode="0.0%"/>
    <numFmt numFmtId="170" formatCode="?0.00"/>
  </numFmts>
  <fonts count="39" x14ac:knownFonts="1">
    <font>
      <sz val="11"/>
      <color theme="1"/>
      <name val="Calibri"/>
      <family val="2"/>
      <scheme val="minor"/>
    </font>
    <font>
      <sz val="10"/>
      <name val="Arial"/>
      <family val="2"/>
    </font>
    <font>
      <b/>
      <sz val="12"/>
      <name val="Arial"/>
      <family val="2"/>
    </font>
    <font>
      <b/>
      <sz val="12"/>
      <color indexed="12"/>
      <name val="Arial"/>
      <family val="2"/>
    </font>
    <font>
      <b/>
      <sz val="12"/>
      <color indexed="8"/>
      <name val="Arial"/>
      <family val="2"/>
    </font>
    <font>
      <sz val="11"/>
      <color indexed="8"/>
      <name val="Calibri"/>
      <family val="2"/>
      <scheme val="minor"/>
    </font>
    <font>
      <sz val="11"/>
      <name val="Calibri"/>
      <family val="2"/>
      <scheme val="minor"/>
    </font>
    <font>
      <sz val="11"/>
      <color rgb="FF0000FF"/>
      <name val="Calibri"/>
      <family val="2"/>
      <scheme val="minor"/>
    </font>
    <font>
      <sz val="9"/>
      <color theme="1"/>
      <name val="Calibri"/>
      <family val="2"/>
      <scheme val="minor"/>
    </font>
    <font>
      <sz val="10"/>
      <name val="Arial"/>
      <family val="2"/>
    </font>
    <font>
      <b/>
      <sz val="14"/>
      <color indexed="12"/>
      <name val="Arial"/>
      <family val="2"/>
    </font>
    <font>
      <b/>
      <sz val="16"/>
      <color indexed="12"/>
      <name val="Arial"/>
      <family val="2"/>
    </font>
    <font>
      <sz val="14"/>
      <name val="Arial"/>
      <family val="2"/>
    </font>
    <font>
      <b/>
      <sz val="10"/>
      <name val="Arial"/>
      <family val="2"/>
    </font>
    <font>
      <sz val="10"/>
      <color indexed="12"/>
      <name val="Arial"/>
      <family val="2"/>
    </font>
    <font>
      <b/>
      <sz val="10"/>
      <color indexed="10"/>
      <name val="Arial"/>
      <family val="2"/>
    </font>
    <font>
      <b/>
      <vertAlign val="superscript"/>
      <sz val="10"/>
      <name val="Arial"/>
      <family val="2"/>
    </font>
    <font>
      <sz val="10"/>
      <color rgb="FF0000FF"/>
      <name val="Arial"/>
      <family val="2"/>
    </font>
    <font>
      <b/>
      <sz val="8"/>
      <color indexed="10"/>
      <name val="Arial"/>
      <family val="2"/>
    </font>
    <font>
      <b/>
      <sz val="10"/>
      <color indexed="12"/>
      <name val="Arial"/>
      <family val="2"/>
    </font>
    <font>
      <b/>
      <vertAlign val="subscript"/>
      <sz val="10"/>
      <name val="Arial"/>
      <family val="2"/>
    </font>
    <font>
      <sz val="10"/>
      <color theme="0"/>
      <name val="Arial"/>
      <family val="2"/>
    </font>
    <font>
      <b/>
      <vertAlign val="subscript"/>
      <sz val="12"/>
      <name val="Arial"/>
      <family val="2"/>
    </font>
    <font>
      <sz val="12"/>
      <name val="Arial"/>
      <family val="2"/>
    </font>
    <font>
      <b/>
      <sz val="8"/>
      <color indexed="81"/>
      <name val="Tahoma"/>
      <family val="2"/>
    </font>
    <font>
      <b/>
      <sz val="9"/>
      <color indexed="81"/>
      <name val="Tahoma"/>
      <family val="2"/>
    </font>
    <font>
      <sz val="9"/>
      <color indexed="81"/>
      <name val="Tahoma"/>
      <family val="2"/>
    </font>
    <font>
      <b/>
      <sz val="10"/>
      <color rgb="FFFF0000"/>
      <name val="Arial"/>
      <family val="2"/>
    </font>
    <font>
      <sz val="10"/>
      <color theme="1"/>
      <name val="Arial"/>
      <family val="2"/>
    </font>
    <font>
      <sz val="8"/>
      <color theme="1"/>
      <name val="Arial"/>
      <family val="2"/>
    </font>
    <font>
      <b/>
      <sz val="10"/>
      <color theme="1"/>
      <name val="Arial"/>
      <family val="2"/>
    </font>
    <font>
      <b/>
      <sz val="8"/>
      <color theme="1"/>
      <name val="Arial"/>
      <family val="2"/>
    </font>
    <font>
      <u/>
      <sz val="11"/>
      <color theme="10"/>
      <name val="Calibri"/>
      <family val="2"/>
      <scheme val="minor"/>
    </font>
    <font>
      <u/>
      <sz val="9"/>
      <color rgb="FF0000FF"/>
      <name val="Calibri"/>
      <family val="2"/>
      <scheme val="minor"/>
    </font>
    <font>
      <u/>
      <sz val="11"/>
      <color rgb="FF0000FF"/>
      <name val="Calibri"/>
      <family val="2"/>
      <scheme val="minor"/>
    </font>
    <font>
      <sz val="7"/>
      <color theme="1"/>
      <name val="Calibri"/>
      <family val="2"/>
      <scheme val="minor"/>
    </font>
    <font>
      <sz val="11"/>
      <color theme="0"/>
      <name val="Calibri"/>
      <family val="2"/>
      <scheme val="minor"/>
    </font>
    <font>
      <b/>
      <sz val="16"/>
      <color theme="1"/>
      <name val="Arial"/>
      <family val="2"/>
    </font>
    <font>
      <b/>
      <u/>
      <sz val="14"/>
      <color theme="1"/>
      <name val="Calibri"/>
      <family val="2"/>
      <scheme val="minor"/>
    </font>
  </fonts>
  <fills count="5">
    <fill>
      <patternFill patternType="none"/>
    </fill>
    <fill>
      <patternFill patternType="gray125"/>
    </fill>
    <fill>
      <patternFill patternType="solid">
        <fgColor indexed="43"/>
        <bgColor indexed="64"/>
      </patternFill>
    </fill>
    <fill>
      <patternFill patternType="solid">
        <fgColor theme="9" tint="0.59999389629810485"/>
        <bgColor indexed="64"/>
      </patternFill>
    </fill>
    <fill>
      <patternFill patternType="solid">
        <fgColor indexed="42"/>
        <bgColor indexed="64"/>
      </patternFill>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diagonalUp="1" diagonalDown="1">
      <left style="thin">
        <color indexed="64"/>
      </left>
      <right/>
      <top style="medium">
        <color indexed="64"/>
      </top>
      <bottom/>
      <diagonal style="hair">
        <color indexed="64"/>
      </diagonal>
    </border>
    <border diagonalUp="1" diagonalDown="1">
      <left/>
      <right/>
      <top style="medium">
        <color indexed="64"/>
      </top>
      <bottom/>
      <diagonal style="hair">
        <color indexed="64"/>
      </diagonal>
    </border>
    <border diagonalUp="1" diagonalDown="1">
      <left/>
      <right style="thin">
        <color indexed="64"/>
      </right>
      <top style="medium">
        <color indexed="64"/>
      </top>
      <bottom/>
      <diagonal style="hair">
        <color indexed="64"/>
      </diagonal>
    </border>
    <border>
      <left style="thin">
        <color indexed="64"/>
      </left>
      <right style="thin">
        <color indexed="64"/>
      </right>
      <top/>
      <bottom/>
      <diagonal/>
    </border>
    <border diagonalUp="1" diagonalDown="1">
      <left/>
      <right/>
      <top/>
      <bottom/>
      <diagonal style="hair">
        <color indexed="64"/>
      </diagonal>
    </border>
    <border diagonalUp="1" diagonalDown="1">
      <left/>
      <right style="thin">
        <color indexed="64"/>
      </right>
      <top/>
      <bottom/>
      <diagonal style="hair">
        <color indexed="64"/>
      </diagonal>
    </border>
    <border diagonalUp="1" diagonalDown="1">
      <left style="thin">
        <color indexed="64"/>
      </left>
      <right/>
      <top/>
      <bottom style="thin">
        <color indexed="64"/>
      </bottom>
      <diagonal style="hair">
        <color indexed="64"/>
      </diagonal>
    </border>
    <border diagonalUp="1" diagonalDown="1">
      <left/>
      <right/>
      <top/>
      <bottom style="thin">
        <color indexed="64"/>
      </bottom>
      <diagonal style="hair">
        <color indexed="64"/>
      </diagonal>
    </border>
    <border diagonalUp="1" diagonalDown="1">
      <left/>
      <right style="thin">
        <color indexed="64"/>
      </right>
      <top/>
      <bottom style="thin">
        <color indexed="64"/>
      </bottom>
      <diagonal style="hair">
        <color indexed="64"/>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diagonal/>
    </border>
  </borders>
  <cellStyleXfs count="5">
    <xf numFmtId="0" fontId="0" fillId="0" borderId="0"/>
    <xf numFmtId="0" fontId="9" fillId="0" borderId="0"/>
    <xf numFmtId="9" fontId="1" fillId="0" borderId="0" applyFont="0" applyFill="0" applyBorder="0" applyAlignment="0" applyProtection="0"/>
    <xf numFmtId="43" fontId="1" fillId="0" borderId="0" applyFont="0" applyFill="0" applyBorder="0" applyAlignment="0" applyProtection="0"/>
    <xf numFmtId="0" fontId="32" fillId="0" borderId="0" applyNumberFormat="0" applyFill="0" applyBorder="0" applyAlignment="0" applyProtection="0"/>
  </cellStyleXfs>
  <cellXfs count="302">
    <xf numFmtId="0" fontId="0" fillId="0" borderId="0" xfId="0"/>
    <xf numFmtId="0" fontId="1" fillId="0" borderId="0" xfId="0" applyFont="1"/>
    <xf numFmtId="0" fontId="0" fillId="0" borderId="0" xfId="0" applyAlignment="1">
      <alignment horizontal="center"/>
    </xf>
    <xf numFmtId="0" fontId="0" fillId="0" borderId="0" xfId="0" applyAlignment="1"/>
    <xf numFmtId="0" fontId="0" fillId="0" borderId="0" xfId="0" applyAlignment="1">
      <alignment vertical="center"/>
    </xf>
    <xf numFmtId="0" fontId="0" fillId="0" borderId="0" xfId="0" applyAlignment="1">
      <alignment horizontal="center" vertical="center"/>
    </xf>
    <xf numFmtId="0" fontId="0" fillId="0" borderId="0" xfId="0" applyAlignment="1">
      <alignment vertical="top" wrapText="1"/>
    </xf>
    <xf numFmtId="2" fontId="0" fillId="0" borderId="0" xfId="0" applyNumberFormat="1"/>
    <xf numFmtId="1" fontId="0" fillId="0" borderId="0" xfId="0" applyNumberFormat="1" applyAlignment="1">
      <alignment horizontal="center"/>
    </xf>
    <xf numFmtId="1" fontId="0" fillId="0" borderId="0" xfId="0" applyNumberFormat="1" applyAlignment="1">
      <alignment horizontal="center" vertical="center"/>
    </xf>
    <xf numFmtId="0" fontId="8" fillId="0" borderId="0" xfId="0" applyFont="1"/>
    <xf numFmtId="0" fontId="0" fillId="0" borderId="0" xfId="0" applyAlignment="1">
      <alignment horizontal="left"/>
    </xf>
    <xf numFmtId="0" fontId="10" fillId="0" borderId="0" xfId="1" applyFont="1" applyAlignment="1" applyProtection="1">
      <alignment horizontal="center"/>
    </xf>
    <xf numFmtId="0" fontId="9" fillId="0" borderId="0" xfId="1"/>
    <xf numFmtId="0" fontId="2" fillId="2" borderId="0" xfId="1" applyFont="1" applyFill="1" applyAlignment="1" applyProtection="1">
      <alignment horizontal="left" vertical="center"/>
      <protection hidden="1"/>
    </xf>
    <xf numFmtId="0" fontId="2" fillId="2" borderId="0" xfId="1" applyFont="1" applyFill="1" applyAlignment="1" applyProtection="1">
      <alignment horizontal="right" vertical="center"/>
      <protection hidden="1"/>
    </xf>
    <xf numFmtId="0" fontId="12" fillId="0" borderId="0" xfId="1" applyFont="1" applyAlignment="1">
      <alignment vertical="center"/>
    </xf>
    <xf numFmtId="0" fontId="1" fillId="0" borderId="0" xfId="1" applyFont="1" applyAlignment="1">
      <alignment horizontal="left" vertical="center"/>
    </xf>
    <xf numFmtId="0" fontId="12" fillId="0" borderId="0" xfId="1" applyFont="1" applyAlignment="1">
      <alignment horizontal="left" vertical="center"/>
    </xf>
    <xf numFmtId="0" fontId="13" fillId="0" borderId="0" xfId="1" applyFont="1" applyBorder="1" applyAlignment="1">
      <alignment wrapText="1"/>
    </xf>
    <xf numFmtId="0" fontId="13" fillId="0" borderId="0" xfId="1" applyFont="1" applyBorder="1" applyAlignment="1">
      <alignment horizontal="left" wrapText="1"/>
    </xf>
    <xf numFmtId="0" fontId="13" fillId="0" borderId="16" xfId="1" applyFont="1" applyBorder="1" applyAlignment="1" applyProtection="1">
      <alignment horizontal="center" wrapText="1"/>
      <protection hidden="1"/>
    </xf>
    <xf numFmtId="0" fontId="13" fillId="0" borderId="17" xfId="1" applyFont="1" applyBorder="1" applyAlignment="1" applyProtection="1">
      <alignment horizontal="center" wrapText="1"/>
      <protection hidden="1"/>
    </xf>
    <xf numFmtId="0" fontId="13" fillId="0" borderId="0" xfId="1" applyFont="1" applyAlignment="1">
      <alignment wrapText="1"/>
    </xf>
    <xf numFmtId="0" fontId="13" fillId="0" borderId="0" xfId="1" applyFont="1" applyAlignment="1">
      <alignment horizontal="left" wrapText="1"/>
    </xf>
    <xf numFmtId="0" fontId="13" fillId="0" borderId="18" xfId="1" applyFont="1" applyBorder="1" applyAlignment="1" applyProtection="1">
      <alignment vertical="center" wrapText="1"/>
      <protection hidden="1"/>
    </xf>
    <xf numFmtId="2" fontId="1" fillId="0" borderId="19" xfId="1" applyNumberFormat="1" applyFont="1" applyBorder="1" applyAlignment="1" applyProtection="1">
      <alignment horizontal="center" vertical="center" wrapText="1"/>
      <protection hidden="1"/>
    </xf>
    <xf numFmtId="2" fontId="1" fillId="0" borderId="0" xfId="1" applyNumberFormat="1" applyFont="1" applyBorder="1" applyAlignment="1" applyProtection="1">
      <alignment horizontal="center" vertical="center" wrapText="1"/>
      <protection hidden="1"/>
    </xf>
    <xf numFmtId="2" fontId="9" fillId="0" borderId="0" xfId="1" applyNumberFormat="1" applyBorder="1" applyAlignment="1" applyProtection="1">
      <alignment horizontal="center" vertical="center"/>
      <protection hidden="1"/>
    </xf>
    <xf numFmtId="0" fontId="1" fillId="0" borderId="20" xfId="1" applyFont="1" applyBorder="1" applyAlignment="1" applyProtection="1">
      <alignment horizontal="center" vertical="center" wrapText="1"/>
      <protection hidden="1"/>
    </xf>
    <xf numFmtId="0" fontId="1" fillId="0" borderId="21" xfId="1" applyFont="1" applyBorder="1" applyAlignment="1" applyProtection="1">
      <alignment horizontal="center" vertical="center" wrapText="1"/>
      <protection hidden="1"/>
    </xf>
    <xf numFmtId="0" fontId="1" fillId="0" borderId="0" xfId="1" applyFont="1" applyAlignment="1">
      <alignment wrapText="1"/>
    </xf>
    <xf numFmtId="0" fontId="1" fillId="0" borderId="0" xfId="1" applyFont="1" applyAlignment="1">
      <alignment horizontal="left" wrapText="1"/>
    </xf>
    <xf numFmtId="0" fontId="13" fillId="0" borderId="22" xfId="1" applyFont="1" applyBorder="1" applyAlignment="1" applyProtection="1">
      <alignment vertical="center" wrapText="1"/>
      <protection hidden="1"/>
    </xf>
    <xf numFmtId="2" fontId="14" fillId="0" borderId="0" xfId="1" applyNumberFormat="1" applyFont="1" applyBorder="1" applyAlignment="1" applyProtection="1">
      <alignment horizontal="center" vertical="center" wrapText="1"/>
      <protection locked="0"/>
    </xf>
    <xf numFmtId="2" fontId="1" fillId="0" borderId="0" xfId="1" applyNumberFormat="1" applyFont="1" applyBorder="1" applyAlignment="1" applyProtection="1">
      <alignment horizontal="center" vertical="center"/>
      <protection hidden="1"/>
    </xf>
    <xf numFmtId="0" fontId="1" fillId="0" borderId="23" xfId="1" applyFont="1" applyBorder="1" applyAlignment="1" applyProtection="1">
      <alignment horizontal="center" vertical="center" wrapText="1"/>
      <protection hidden="1"/>
    </xf>
    <xf numFmtId="0" fontId="9" fillId="0" borderId="23" xfId="1" applyBorder="1" applyAlignment="1" applyProtection="1">
      <alignment horizontal="center" vertical="center"/>
      <protection hidden="1"/>
    </xf>
    <xf numFmtId="0" fontId="9" fillId="0" borderId="24" xfId="1" applyBorder="1" applyAlignment="1" applyProtection="1">
      <alignment horizontal="center" vertical="center"/>
      <protection hidden="1"/>
    </xf>
    <xf numFmtId="0" fontId="1" fillId="0" borderId="0" xfId="1" quotePrefix="1" applyFont="1" applyAlignment="1">
      <alignment horizontal="left"/>
    </xf>
    <xf numFmtId="2" fontId="9" fillId="0" borderId="5" xfId="1" applyNumberFormat="1" applyBorder="1" applyAlignment="1" applyProtection="1">
      <alignment horizontal="center" vertical="center"/>
      <protection hidden="1"/>
    </xf>
    <xf numFmtId="0" fontId="15" fillId="0" borderId="0" xfId="1" applyFont="1" applyBorder="1" applyAlignment="1" applyProtection="1">
      <alignment horizontal="left" vertical="center" wrapText="1"/>
      <protection hidden="1"/>
    </xf>
    <xf numFmtId="2" fontId="1" fillId="0" borderId="0" xfId="1" quotePrefix="1" applyNumberFormat="1" applyFont="1" applyAlignment="1">
      <alignment horizontal="left"/>
    </xf>
    <xf numFmtId="0" fontId="13" fillId="0" borderId="14" xfId="1" applyFont="1" applyBorder="1" applyAlignment="1" applyProtection="1">
      <alignment vertical="center" wrapText="1"/>
      <protection hidden="1"/>
    </xf>
    <xf numFmtId="2" fontId="1" fillId="0" borderId="25" xfId="1" applyNumberFormat="1" applyFont="1" applyBorder="1" applyAlignment="1" applyProtection="1">
      <alignment horizontal="center" vertical="center" wrapText="1"/>
      <protection hidden="1"/>
    </xf>
    <xf numFmtId="2" fontId="9" fillId="0" borderId="7" xfId="1" applyNumberFormat="1" applyBorder="1" applyAlignment="1" applyProtection="1">
      <alignment horizontal="center" vertical="center"/>
      <protection hidden="1"/>
    </xf>
    <xf numFmtId="2" fontId="1" fillId="0" borderId="7" xfId="1" applyNumberFormat="1" applyFont="1" applyFill="1" applyBorder="1" applyAlignment="1" applyProtection="1">
      <alignment horizontal="center" vertical="center" wrapText="1"/>
      <protection hidden="1"/>
    </xf>
    <xf numFmtId="0" fontId="9" fillId="0" borderId="26" xfId="1" applyBorder="1" applyAlignment="1" applyProtection="1">
      <alignment horizontal="center" vertical="center"/>
      <protection hidden="1"/>
    </xf>
    <xf numFmtId="0" fontId="9" fillId="0" borderId="27" xfId="1" applyBorder="1" applyAlignment="1" applyProtection="1">
      <alignment horizontal="center" vertical="center"/>
      <protection hidden="1"/>
    </xf>
    <xf numFmtId="0" fontId="13" fillId="0" borderId="0" xfId="1" applyFont="1" applyBorder="1" applyAlignment="1" applyProtection="1">
      <alignment vertical="center" wrapText="1"/>
      <protection hidden="1"/>
    </xf>
    <xf numFmtId="0" fontId="9" fillId="0" borderId="0" xfId="1" applyBorder="1" applyAlignment="1" applyProtection="1">
      <alignment horizontal="center" vertical="center"/>
      <protection hidden="1"/>
    </xf>
    <xf numFmtId="0" fontId="13" fillId="0" borderId="28" xfId="1" applyFont="1" applyBorder="1" applyAlignment="1" applyProtection="1">
      <alignment horizontal="left" vertical="center" wrapText="1"/>
      <protection hidden="1"/>
    </xf>
    <xf numFmtId="0" fontId="13" fillId="0" borderId="29" xfId="1" applyFont="1" applyBorder="1" applyAlignment="1" applyProtection="1">
      <alignment horizontal="center" vertical="center" wrapText="1"/>
      <protection hidden="1"/>
    </xf>
    <xf numFmtId="0" fontId="15" fillId="0" borderId="29" xfId="1" applyFont="1" applyBorder="1" applyAlignment="1" applyProtection="1">
      <alignment horizontal="left" vertical="center" wrapText="1"/>
      <protection hidden="1"/>
    </xf>
    <xf numFmtId="0" fontId="9" fillId="0" borderId="29" xfId="1" applyBorder="1" applyAlignment="1" applyProtection="1">
      <alignment horizontal="center" vertical="center"/>
      <protection hidden="1"/>
    </xf>
    <xf numFmtId="0" fontId="9" fillId="0" borderId="30" xfId="1" applyBorder="1" applyAlignment="1" applyProtection="1">
      <alignment horizontal="center" vertical="center"/>
      <protection hidden="1"/>
    </xf>
    <xf numFmtId="0" fontId="13" fillId="0" borderId="14" xfId="1" applyFont="1" applyBorder="1" applyAlignment="1" applyProtection="1">
      <alignment horizontal="left" vertical="center" wrapText="1"/>
      <protection hidden="1"/>
    </xf>
    <xf numFmtId="0" fontId="1" fillId="0" borderId="7" xfId="1" applyFont="1" applyBorder="1" applyAlignment="1" applyProtection="1">
      <alignment horizontal="center" vertical="center" wrapText="1"/>
      <protection hidden="1"/>
    </xf>
    <xf numFmtId="165" fontId="1" fillId="0" borderId="7" xfId="1" applyNumberFormat="1" applyFont="1" applyBorder="1" applyAlignment="1" applyProtection="1">
      <alignment horizontal="center" vertical="center"/>
      <protection hidden="1"/>
    </xf>
    <xf numFmtId="2" fontId="1" fillId="0" borderId="7" xfId="1" applyNumberFormat="1" applyFont="1" applyBorder="1" applyAlignment="1" applyProtection="1">
      <alignment horizontal="center" vertical="center" wrapText="1"/>
      <protection hidden="1"/>
    </xf>
    <xf numFmtId="0" fontId="15" fillId="0" borderId="7" xfId="1" applyFont="1" applyBorder="1" applyAlignment="1" applyProtection="1">
      <alignment horizontal="left" vertical="center" wrapText="1"/>
      <protection hidden="1"/>
    </xf>
    <xf numFmtId="0" fontId="9" fillId="0" borderId="7" xfId="1" applyBorder="1" applyAlignment="1" applyProtection="1">
      <alignment horizontal="center" vertical="center"/>
      <protection hidden="1"/>
    </xf>
    <xf numFmtId="0" fontId="9" fillId="0" borderId="8" xfId="1" applyBorder="1" applyAlignment="1" applyProtection="1">
      <alignment horizontal="center" vertical="center"/>
      <protection hidden="1"/>
    </xf>
    <xf numFmtId="0" fontId="13" fillId="0" borderId="28" xfId="1" applyFont="1" applyBorder="1" applyAlignment="1" applyProtection="1">
      <alignment vertical="center" wrapText="1"/>
      <protection hidden="1"/>
    </xf>
    <xf numFmtId="0" fontId="13" fillId="0" borderId="18" xfId="1" applyFont="1" applyBorder="1" applyAlignment="1" applyProtection="1">
      <alignment horizontal="left" vertical="center" wrapText="1"/>
      <protection hidden="1"/>
    </xf>
    <xf numFmtId="0" fontId="9" fillId="0" borderId="0" xfId="1" applyBorder="1" applyAlignment="1">
      <alignment horizontal="center"/>
    </xf>
    <xf numFmtId="0" fontId="9" fillId="0" borderId="5" xfId="1" applyBorder="1" applyAlignment="1" applyProtection="1">
      <alignment horizontal="center" vertical="center"/>
      <protection hidden="1"/>
    </xf>
    <xf numFmtId="0" fontId="17" fillId="0" borderId="7" xfId="1" applyFont="1" applyBorder="1" applyAlignment="1">
      <alignment horizontal="center" wrapText="1"/>
    </xf>
    <xf numFmtId="3" fontId="14" fillId="0" borderId="7" xfId="1" applyNumberFormat="1" applyFont="1" applyBorder="1" applyAlignment="1" applyProtection="1">
      <alignment horizontal="center" vertical="center" wrapText="1"/>
      <protection locked="0"/>
    </xf>
    <xf numFmtId="2" fontId="9" fillId="0" borderId="7" xfId="1" applyNumberFormat="1" applyFill="1" applyBorder="1" applyAlignment="1" applyProtection="1">
      <alignment horizontal="center" vertical="center"/>
      <protection hidden="1"/>
    </xf>
    <xf numFmtId="0" fontId="18" fillId="0" borderId="0" xfId="1" applyFont="1" applyBorder="1" applyAlignment="1" applyProtection="1">
      <alignment vertical="center" wrapText="1"/>
    </xf>
    <xf numFmtId="2" fontId="9" fillId="0" borderId="0" xfId="1" applyNumberFormat="1" applyAlignment="1" applyProtection="1">
      <alignment horizontal="center" vertical="center"/>
      <protection hidden="1"/>
    </xf>
    <xf numFmtId="0" fontId="14" fillId="0" borderId="0" xfId="1" applyFont="1" applyBorder="1" applyAlignment="1" applyProtection="1">
      <alignment vertical="top" wrapText="1"/>
      <protection locked="0"/>
    </xf>
    <xf numFmtId="0" fontId="14" fillId="0" borderId="5" xfId="1" applyFont="1" applyBorder="1" applyAlignment="1" applyProtection="1">
      <alignment vertical="top" wrapText="1"/>
      <protection locked="0"/>
    </xf>
    <xf numFmtId="10" fontId="13" fillId="0" borderId="0" xfId="2" applyNumberFormat="1" applyFont="1" applyBorder="1" applyAlignment="1" applyProtection="1">
      <alignment horizontal="center" vertical="center"/>
      <protection hidden="1"/>
    </xf>
    <xf numFmtId="0" fontId="13" fillId="0" borderId="0" xfId="1" applyFont="1" applyBorder="1" applyAlignment="1" applyProtection="1">
      <alignment horizontal="right" vertical="center"/>
      <protection hidden="1"/>
    </xf>
    <xf numFmtId="2" fontId="13" fillId="0" borderId="0" xfId="1" applyNumberFormat="1" applyFont="1" applyBorder="1" applyAlignment="1" applyProtection="1">
      <alignment horizontal="center" vertical="center"/>
      <protection hidden="1"/>
    </xf>
    <xf numFmtId="0" fontId="9" fillId="0" borderId="5" xfId="1" applyBorder="1" applyAlignment="1">
      <alignment horizontal="center"/>
    </xf>
    <xf numFmtId="0" fontId="14" fillId="0" borderId="7" xfId="1" applyFont="1" applyBorder="1" applyAlignment="1" applyProtection="1">
      <alignment horizontal="center" vertical="center" wrapText="1"/>
    </xf>
    <xf numFmtId="166" fontId="14" fillId="0" borderId="7" xfId="1" applyNumberFormat="1" applyFont="1" applyBorder="1" applyAlignment="1" applyProtection="1">
      <alignment horizontal="center" vertical="center"/>
      <protection locked="0"/>
    </xf>
    <xf numFmtId="167" fontId="9" fillId="0" borderId="7" xfId="1" applyNumberFormat="1" applyFill="1" applyBorder="1" applyAlignment="1" applyProtection="1">
      <alignment horizontal="center" vertical="center"/>
      <protection hidden="1"/>
    </xf>
    <xf numFmtId="0" fontId="14" fillId="0" borderId="7" xfId="1" applyFont="1" applyBorder="1" applyAlignment="1" applyProtection="1">
      <alignment vertical="top" wrapText="1"/>
      <protection locked="0"/>
    </xf>
    <xf numFmtId="0" fontId="14" fillId="0" borderId="8" xfId="1" applyFont="1" applyBorder="1" applyAlignment="1" applyProtection="1">
      <alignment vertical="top" wrapText="1"/>
      <protection locked="0"/>
    </xf>
    <xf numFmtId="0" fontId="14" fillId="0" borderId="0" xfId="1" applyFont="1" applyBorder="1" applyAlignment="1" applyProtection="1">
      <alignment horizontal="center" vertical="center" wrapText="1"/>
    </xf>
    <xf numFmtId="0" fontId="14" fillId="0" borderId="0" xfId="1" applyFont="1" applyAlignment="1" applyProtection="1">
      <alignment horizontal="center" vertical="center"/>
    </xf>
    <xf numFmtId="0" fontId="9" fillId="0" borderId="0" xfId="1" applyAlignment="1" applyProtection="1">
      <alignment horizontal="center" vertical="center"/>
      <protection hidden="1"/>
    </xf>
    <xf numFmtId="0" fontId="13" fillId="0" borderId="28" xfId="1" applyFont="1" applyFill="1" applyBorder="1" applyAlignment="1" applyProtection="1">
      <alignment vertical="center" wrapText="1"/>
      <protection hidden="1"/>
    </xf>
    <xf numFmtId="0" fontId="9" fillId="0" borderId="31" xfId="1" applyFill="1" applyBorder="1" applyAlignment="1" applyProtection="1">
      <alignment vertical="center" wrapText="1"/>
      <protection hidden="1"/>
    </xf>
    <xf numFmtId="0" fontId="9" fillId="0" borderId="29" xfId="1" applyFill="1" applyBorder="1" applyAlignment="1" applyProtection="1">
      <alignment vertical="center" wrapText="1"/>
      <protection hidden="1"/>
    </xf>
    <xf numFmtId="0" fontId="9" fillId="0" borderId="30" xfId="1" applyFill="1" applyBorder="1" applyAlignment="1" applyProtection="1">
      <alignment vertical="center" wrapText="1"/>
      <protection hidden="1"/>
    </xf>
    <xf numFmtId="0" fontId="9" fillId="0" borderId="0" xfId="1" applyFill="1"/>
    <xf numFmtId="0" fontId="9" fillId="0" borderId="7" xfId="1" applyBorder="1" applyAlignment="1">
      <alignment horizontal="center"/>
    </xf>
    <xf numFmtId="0" fontId="9" fillId="0" borderId="0" xfId="1" applyAlignment="1">
      <alignment vertical="top" wrapText="1"/>
    </xf>
    <xf numFmtId="0" fontId="13" fillId="0" borderId="31" xfId="1" applyFont="1" applyBorder="1" applyAlignment="1">
      <alignment horizontal="left"/>
    </xf>
    <xf numFmtId="0" fontId="13" fillId="0" borderId="29" xfId="1" applyFont="1" applyBorder="1" applyAlignment="1">
      <alignment horizontal="left"/>
    </xf>
    <xf numFmtId="0" fontId="13" fillId="0" borderId="30" xfId="1" applyFont="1" applyBorder="1" applyAlignment="1">
      <alignment horizontal="left"/>
    </xf>
    <xf numFmtId="2" fontId="9" fillId="0" borderId="32" xfId="1" applyNumberFormat="1" applyBorder="1" applyAlignment="1" applyProtection="1">
      <alignment horizontal="center" vertical="center"/>
      <protection hidden="1"/>
    </xf>
    <xf numFmtId="170" fontId="13" fillId="0" borderId="32" xfId="1" applyNumberFormat="1" applyFont="1" applyBorder="1" applyAlignment="1" applyProtection="1">
      <alignment horizontal="center" vertical="center"/>
      <protection hidden="1"/>
    </xf>
    <xf numFmtId="0" fontId="1" fillId="0" borderId="0" xfId="1" applyFont="1"/>
    <xf numFmtId="168" fontId="1" fillId="0" borderId="0" xfId="1" applyNumberFormat="1" applyFont="1" applyAlignment="1">
      <alignment horizontal="center"/>
    </xf>
    <xf numFmtId="170" fontId="13" fillId="0" borderId="0" xfId="1" applyNumberFormat="1" applyFont="1" applyBorder="1" applyAlignment="1" applyProtection="1">
      <alignment horizontal="center" vertical="center"/>
      <protection hidden="1"/>
    </xf>
    <xf numFmtId="0" fontId="13" fillId="0" borderId="6" xfId="1" applyFont="1" applyBorder="1" applyAlignment="1" applyProtection="1">
      <alignment vertical="center"/>
      <protection hidden="1"/>
    </xf>
    <xf numFmtId="0" fontId="13" fillId="0" borderId="7" xfId="1" applyFont="1" applyBorder="1" applyAlignment="1" applyProtection="1">
      <alignment vertical="center"/>
      <protection hidden="1"/>
    </xf>
    <xf numFmtId="170" fontId="13" fillId="3" borderId="7" xfId="1" applyNumberFormat="1" applyFont="1" applyFill="1" applyBorder="1" applyAlignment="1" applyProtection="1">
      <alignment horizontal="center" vertical="center"/>
      <protection hidden="1"/>
    </xf>
    <xf numFmtId="0" fontId="15" fillId="0" borderId="7" xfId="1" applyFont="1" applyBorder="1" applyAlignment="1" applyProtection="1">
      <alignment vertical="center"/>
      <protection hidden="1"/>
    </xf>
    <xf numFmtId="0" fontId="15" fillId="0" borderId="8" xfId="1" applyFont="1" applyBorder="1" applyAlignment="1" applyProtection="1">
      <alignment vertical="center"/>
      <protection hidden="1"/>
    </xf>
    <xf numFmtId="0" fontId="1" fillId="0" borderId="0" xfId="1" applyFont="1" applyBorder="1" applyAlignment="1" applyProtection="1">
      <alignment vertical="top" wrapText="1"/>
      <protection hidden="1"/>
    </xf>
    <xf numFmtId="0" fontId="13" fillId="0" borderId="6" xfId="1" applyFont="1" applyBorder="1"/>
    <xf numFmtId="168" fontId="21" fillId="0" borderId="7" xfId="1" applyNumberFormat="1" applyFont="1" applyBorder="1" applyAlignment="1" applyProtection="1">
      <alignment horizontal="center"/>
    </xf>
    <xf numFmtId="9" fontId="13" fillId="0" borderId="7" xfId="2" applyFont="1" applyBorder="1" applyAlignment="1">
      <alignment horizontal="center"/>
    </xf>
    <xf numFmtId="0" fontId="9" fillId="0" borderId="8" xfId="1" applyBorder="1" applyAlignment="1">
      <alignment horizontal="center"/>
    </xf>
    <xf numFmtId="0" fontId="13" fillId="0" borderId="0" xfId="1" applyFont="1" applyAlignment="1" applyProtection="1">
      <alignment vertical="center" wrapText="1"/>
      <protection hidden="1"/>
    </xf>
    <xf numFmtId="0" fontId="9" fillId="0" borderId="0" xfId="1" applyAlignment="1" applyProtection="1">
      <alignment horizontal="center" vertical="center" wrapText="1"/>
      <protection hidden="1"/>
    </xf>
    <xf numFmtId="0" fontId="2" fillId="0" borderId="0" xfId="1" applyFont="1" applyAlignment="1"/>
    <xf numFmtId="0" fontId="9" fillId="0" borderId="0" xfId="1" applyAlignment="1">
      <alignment horizontal="center"/>
    </xf>
    <xf numFmtId="0" fontId="2" fillId="0" borderId="0" xfId="1" applyFont="1" applyAlignment="1">
      <alignment horizontal="left" indent="8"/>
    </xf>
    <xf numFmtId="0" fontId="23" fillId="0" borderId="0" xfId="1" applyNumberFormat="1" applyFont="1" applyBorder="1" applyAlignment="1" applyProtection="1">
      <alignment horizontal="left"/>
    </xf>
    <xf numFmtId="0" fontId="13" fillId="0" borderId="0" xfId="1" applyFont="1"/>
    <xf numFmtId="0" fontId="9" fillId="0" borderId="0" xfId="1" applyAlignment="1">
      <alignment vertical="center"/>
    </xf>
    <xf numFmtId="0" fontId="9" fillId="2" borderId="0" xfId="1" applyFill="1" applyAlignment="1" applyProtection="1">
      <alignment horizontal="center" vertical="center"/>
    </xf>
    <xf numFmtId="0" fontId="19" fillId="0" borderId="0" xfId="1" applyFont="1" applyFill="1" applyAlignment="1" applyProtection="1">
      <alignment horizontal="center" vertical="center"/>
    </xf>
    <xf numFmtId="0" fontId="9" fillId="0" borderId="0" xfId="1" applyFill="1" applyAlignment="1" applyProtection="1">
      <alignment horizontal="center" vertical="center"/>
    </xf>
    <xf numFmtId="0" fontId="9" fillId="0" borderId="0" xfId="1" applyFill="1" applyAlignment="1">
      <alignment vertical="center"/>
    </xf>
    <xf numFmtId="0" fontId="13" fillId="0" borderId="7" xfId="1" applyFont="1" applyBorder="1" applyAlignment="1">
      <alignment horizontal="center" vertical="center"/>
    </xf>
    <xf numFmtId="0" fontId="13" fillId="0" borderId="0" xfId="1" applyFont="1" applyAlignment="1">
      <alignment horizontal="center" vertical="center"/>
    </xf>
    <xf numFmtId="0" fontId="13" fillId="0" borderId="0" xfId="1" applyFont="1" applyAlignment="1">
      <alignment vertical="center"/>
    </xf>
    <xf numFmtId="0" fontId="19" fillId="0" borderId="0" xfId="1" applyFont="1" applyAlignment="1" applyProtection="1">
      <alignment horizontal="center" vertical="center"/>
      <protection locked="0"/>
    </xf>
    <xf numFmtId="0" fontId="9" fillId="0" borderId="0" xfId="1" applyAlignment="1">
      <alignment horizontal="center" vertical="center"/>
    </xf>
    <xf numFmtId="0" fontId="15" fillId="4" borderId="0" xfId="1" applyFont="1" applyFill="1" applyAlignment="1">
      <alignment horizontal="center" vertical="center"/>
    </xf>
    <xf numFmtId="0" fontId="13" fillId="0" borderId="28" xfId="1" applyFont="1" applyBorder="1" applyAlignment="1">
      <alignment horizontal="left"/>
    </xf>
    <xf numFmtId="0" fontId="11" fillId="0" borderId="0" xfId="0" applyFont="1" applyAlignment="1" applyProtection="1">
      <alignment vertical="center"/>
    </xf>
    <xf numFmtId="0" fontId="0" fillId="0" borderId="10" xfId="0" applyBorder="1"/>
    <xf numFmtId="0" fontId="0" fillId="0" borderId="0" xfId="0" applyFont="1"/>
    <xf numFmtId="0" fontId="0" fillId="0" borderId="0" xfId="0" applyAlignment="1">
      <alignment vertical="top"/>
    </xf>
    <xf numFmtId="0" fontId="0" fillId="0" borderId="0" xfId="0" applyAlignment="1">
      <alignment horizontal="left" vertical="top"/>
    </xf>
    <xf numFmtId="2" fontId="28" fillId="0" borderId="0" xfId="1" applyNumberFormat="1" applyFont="1" applyBorder="1" applyAlignment="1" applyProtection="1">
      <alignment horizontal="center" vertical="center" wrapText="1"/>
      <protection locked="0"/>
    </xf>
    <xf numFmtId="0" fontId="28" fillId="0" borderId="0" xfId="1" applyFont="1" applyBorder="1" applyAlignment="1">
      <alignment horizontal="center" wrapText="1"/>
    </xf>
    <xf numFmtId="3" fontId="28" fillId="0" borderId="0" xfId="1" applyNumberFormat="1" applyFont="1" applyBorder="1" applyAlignment="1" applyProtection="1">
      <alignment horizontal="center" vertical="center" wrapText="1"/>
      <protection locked="0"/>
    </xf>
    <xf numFmtId="2" fontId="28" fillId="0" borderId="0" xfId="1" applyNumberFormat="1" applyFont="1" applyBorder="1" applyAlignment="1" applyProtection="1">
      <alignment horizontal="center" vertical="center" wrapText="1"/>
    </xf>
    <xf numFmtId="3" fontId="28" fillId="0" borderId="0" xfId="1" applyNumberFormat="1" applyFont="1" applyBorder="1" applyAlignment="1" applyProtection="1">
      <alignment horizontal="right" vertical="center" wrapText="1"/>
      <protection locked="0"/>
    </xf>
    <xf numFmtId="0" fontId="28" fillId="0" borderId="0" xfId="1" applyFont="1" applyBorder="1" applyAlignment="1" applyProtection="1">
      <alignment horizontal="center" vertical="center"/>
      <protection hidden="1"/>
    </xf>
    <xf numFmtId="0" fontId="28" fillId="0" borderId="0" xfId="1" applyFont="1" applyBorder="1" applyAlignment="1">
      <alignment horizontal="center"/>
    </xf>
    <xf numFmtId="2" fontId="28" fillId="0" borderId="0" xfId="1" applyNumberFormat="1" applyFont="1" applyBorder="1" applyAlignment="1" applyProtection="1">
      <alignment horizontal="right" vertical="center" wrapText="1"/>
      <protection locked="0"/>
    </xf>
    <xf numFmtId="3" fontId="28" fillId="0" borderId="0" xfId="3" applyNumberFormat="1" applyFont="1" applyBorder="1" applyAlignment="1" applyProtection="1">
      <alignment horizontal="right" vertical="center" wrapText="1"/>
      <protection locked="0"/>
    </xf>
    <xf numFmtId="0" fontId="28" fillId="0" borderId="5" xfId="1" applyFont="1" applyBorder="1" applyAlignment="1" applyProtection="1">
      <alignment horizontal="center" vertical="center"/>
      <protection hidden="1"/>
    </xf>
    <xf numFmtId="2" fontId="28" fillId="0" borderId="0" xfId="1" applyNumberFormat="1" applyFont="1" applyBorder="1" applyAlignment="1" applyProtection="1">
      <alignment horizontal="right" vertical="center" wrapText="1"/>
      <protection hidden="1"/>
    </xf>
    <xf numFmtId="0" fontId="28" fillId="0" borderId="0" xfId="1" applyFont="1" applyBorder="1" applyAlignment="1" applyProtection="1">
      <alignment horizontal="right" vertical="center"/>
      <protection hidden="1"/>
    </xf>
    <xf numFmtId="0" fontId="28" fillId="0" borderId="0" xfId="1" applyFont="1" applyBorder="1" applyAlignment="1" applyProtection="1">
      <alignment horizontal="left" vertical="center"/>
      <protection locked="0"/>
    </xf>
    <xf numFmtId="0" fontId="30" fillId="0" borderId="0" xfId="1" applyFont="1" applyBorder="1" applyAlignment="1">
      <alignment horizontal="center"/>
    </xf>
    <xf numFmtId="0" fontId="28" fillId="0" borderId="5" xfId="1" applyFont="1" applyBorder="1" applyAlignment="1" applyProtection="1">
      <alignment horizontal="left" vertical="center"/>
      <protection locked="0"/>
    </xf>
    <xf numFmtId="169" fontId="28" fillId="0" borderId="0" xfId="2" applyNumberFormat="1" applyFont="1" applyBorder="1" applyAlignment="1" applyProtection="1">
      <alignment horizontal="right" vertical="center" wrapText="1"/>
      <protection locked="0"/>
    </xf>
    <xf numFmtId="10" fontId="30" fillId="0" borderId="0" xfId="2" applyNumberFormat="1" applyFont="1" applyBorder="1" applyAlignment="1" applyProtection="1">
      <alignment horizontal="center" vertical="center"/>
      <protection hidden="1"/>
    </xf>
    <xf numFmtId="0" fontId="30" fillId="0" borderId="0" xfId="1" applyFont="1" applyBorder="1" applyAlignment="1" applyProtection="1">
      <alignment horizontal="right" vertical="center"/>
      <protection hidden="1"/>
    </xf>
    <xf numFmtId="2" fontId="30" fillId="0" borderId="0" xfId="1" applyNumberFormat="1" applyFont="1" applyBorder="1" applyAlignment="1" applyProtection="1">
      <alignment horizontal="center" vertical="center"/>
      <protection hidden="1"/>
    </xf>
    <xf numFmtId="0" fontId="30" fillId="0" borderId="0" xfId="1" applyFont="1" applyBorder="1" applyAlignment="1" applyProtection="1">
      <alignment horizontal="center" vertical="center"/>
      <protection hidden="1"/>
    </xf>
    <xf numFmtId="0" fontId="30" fillId="0" borderId="5" xfId="1" applyFont="1" applyBorder="1" applyAlignment="1" applyProtection="1">
      <alignment horizontal="center" vertical="center"/>
      <protection hidden="1"/>
    </xf>
    <xf numFmtId="2" fontId="28" fillId="0" borderId="4" xfId="1" applyNumberFormat="1" applyFont="1" applyBorder="1" applyAlignment="1" applyProtection="1">
      <alignment horizontal="right" vertical="center" wrapText="1"/>
      <protection locked="0"/>
    </xf>
    <xf numFmtId="0" fontId="30" fillId="0" borderId="0" xfId="1" applyFont="1" applyBorder="1" applyAlignment="1" applyProtection="1">
      <alignment vertical="center"/>
      <protection hidden="1"/>
    </xf>
    <xf numFmtId="170" fontId="28" fillId="0" borderId="6" xfId="1" applyNumberFormat="1" applyFont="1" applyBorder="1" applyAlignment="1" applyProtection="1">
      <alignment horizontal="right" vertical="center"/>
      <protection locked="0"/>
    </xf>
    <xf numFmtId="0" fontId="28" fillId="0" borderId="7" xfId="1" applyFont="1" applyBorder="1" applyAlignment="1" applyProtection="1">
      <alignment horizontal="center" vertical="center"/>
      <protection hidden="1"/>
    </xf>
    <xf numFmtId="2" fontId="28" fillId="0" borderId="7" xfId="1" applyNumberFormat="1" applyFont="1" applyBorder="1" applyAlignment="1" applyProtection="1">
      <alignment horizontal="center" vertical="center"/>
      <protection hidden="1"/>
    </xf>
    <xf numFmtId="0" fontId="28" fillId="0" borderId="7" xfId="1" applyFont="1" applyBorder="1" applyAlignment="1">
      <alignment horizontal="center"/>
    </xf>
    <xf numFmtId="0" fontId="30" fillId="0" borderId="7" xfId="1" applyFont="1" applyBorder="1" applyAlignment="1" applyProtection="1">
      <alignment horizontal="left" vertical="center"/>
      <protection hidden="1"/>
    </xf>
    <xf numFmtId="0" fontId="30" fillId="0" borderId="8" xfId="1" applyFont="1" applyBorder="1" applyAlignment="1" applyProtection="1">
      <alignment horizontal="left" vertical="center"/>
      <protection hidden="1"/>
    </xf>
    <xf numFmtId="0" fontId="28" fillId="0" borderId="0" xfId="1" applyFont="1" applyBorder="1" applyAlignment="1">
      <alignment horizontal="center" vertical="center" wrapText="1"/>
    </xf>
    <xf numFmtId="0" fontId="30" fillId="0" borderId="0" xfId="1" applyFont="1" applyBorder="1" applyAlignment="1" applyProtection="1">
      <alignment horizontal="left" vertical="center" wrapText="1"/>
      <protection hidden="1"/>
    </xf>
    <xf numFmtId="0" fontId="28" fillId="0" borderId="7" xfId="1" applyFont="1" applyBorder="1" applyAlignment="1">
      <alignment horizontal="center" wrapText="1"/>
    </xf>
    <xf numFmtId="3" fontId="28" fillId="0" borderId="7" xfId="1" applyNumberFormat="1" applyFont="1" applyBorder="1" applyAlignment="1" applyProtection="1">
      <alignment horizontal="center" vertical="center" wrapText="1"/>
      <protection locked="0"/>
    </xf>
    <xf numFmtId="2" fontId="28" fillId="0" borderId="7" xfId="1" applyNumberFormat="1" applyFont="1" applyFill="1" applyBorder="1" applyAlignment="1" applyProtection="1">
      <alignment horizontal="center" vertical="center"/>
      <protection hidden="1"/>
    </xf>
    <xf numFmtId="0" fontId="30" fillId="0" borderId="7" xfId="1" applyFont="1" applyBorder="1" applyAlignment="1" applyProtection="1">
      <alignment horizontal="left" vertical="center" wrapText="1"/>
      <protection hidden="1"/>
    </xf>
    <xf numFmtId="0" fontId="28" fillId="0" borderId="8" xfId="1" applyFont="1" applyBorder="1" applyAlignment="1" applyProtection="1">
      <alignment horizontal="center" vertical="center"/>
      <protection hidden="1"/>
    </xf>
    <xf numFmtId="0" fontId="31" fillId="0" borderId="0" xfId="1" applyFont="1" applyBorder="1" applyAlignment="1" applyProtection="1">
      <alignment vertical="center" wrapText="1"/>
    </xf>
    <xf numFmtId="2" fontId="28" fillId="0" borderId="0" xfId="1" applyNumberFormat="1" applyFont="1" applyAlignment="1" applyProtection="1">
      <alignment horizontal="center" vertical="center"/>
      <protection hidden="1"/>
    </xf>
    <xf numFmtId="0" fontId="28" fillId="0" borderId="0" xfId="1" applyFont="1" applyBorder="1" applyAlignment="1" applyProtection="1">
      <alignment vertical="top" wrapText="1"/>
      <protection locked="0"/>
    </xf>
    <xf numFmtId="0" fontId="30" fillId="0" borderId="29" xfId="1" applyFont="1" applyBorder="1" applyAlignment="1" applyProtection="1">
      <alignment horizontal="center" vertical="center" wrapText="1"/>
      <protection hidden="1"/>
    </xf>
    <xf numFmtId="0" fontId="30" fillId="0" borderId="29" xfId="1" applyFont="1" applyBorder="1" applyAlignment="1" applyProtection="1">
      <alignment horizontal="left" vertical="center" wrapText="1"/>
      <protection hidden="1"/>
    </xf>
    <xf numFmtId="0" fontId="28" fillId="0" borderId="30" xfId="1" applyFont="1" applyBorder="1" applyAlignment="1" applyProtection="1">
      <alignment horizontal="center" vertical="center"/>
      <protection hidden="1"/>
    </xf>
    <xf numFmtId="0" fontId="28" fillId="0" borderId="5" xfId="1" applyFont="1" applyBorder="1" applyAlignment="1" applyProtection="1">
      <alignment vertical="top" wrapText="1"/>
      <protection locked="0"/>
    </xf>
    <xf numFmtId="0" fontId="28" fillId="0" borderId="5" xfId="1" applyFont="1" applyBorder="1" applyAlignment="1">
      <alignment horizontal="center"/>
    </xf>
    <xf numFmtId="0" fontId="28" fillId="0" borderId="7" xfId="1" applyFont="1" applyBorder="1" applyAlignment="1" applyProtection="1">
      <alignment horizontal="center" vertical="center" wrapText="1"/>
    </xf>
    <xf numFmtId="166" fontId="28" fillId="0" borderId="7" xfId="1" applyNumberFormat="1" applyFont="1" applyBorder="1" applyAlignment="1" applyProtection="1">
      <alignment horizontal="center" vertical="center"/>
      <protection locked="0"/>
    </xf>
    <xf numFmtId="167" fontId="28" fillId="0" borderId="7" xfId="1" applyNumberFormat="1" applyFont="1" applyFill="1" applyBorder="1" applyAlignment="1" applyProtection="1">
      <alignment horizontal="center" vertical="center"/>
      <protection hidden="1"/>
    </xf>
    <xf numFmtId="0" fontId="28" fillId="0" borderId="7" xfId="1" applyFont="1" applyBorder="1" applyAlignment="1" applyProtection="1">
      <alignment vertical="top" wrapText="1"/>
      <protection locked="0"/>
    </xf>
    <xf numFmtId="0" fontId="28" fillId="0" borderId="8" xfId="1" applyFont="1" applyBorder="1" applyAlignment="1" applyProtection="1">
      <alignment vertical="top" wrapText="1"/>
      <protection locked="0"/>
    </xf>
    <xf numFmtId="0" fontId="28" fillId="0" borderId="0" xfId="1" applyFont="1" applyBorder="1" applyAlignment="1" applyProtection="1">
      <alignment horizontal="center" vertical="center" wrapText="1"/>
    </xf>
    <xf numFmtId="0" fontId="28" fillId="0" borderId="0" xfId="1" applyFont="1" applyAlignment="1" applyProtection="1">
      <alignment horizontal="center" vertical="center"/>
    </xf>
    <xf numFmtId="0" fontId="28" fillId="0" borderId="0" xfId="1" applyFont="1" applyAlignment="1" applyProtection="1">
      <alignment horizontal="center" vertical="center"/>
      <protection hidden="1"/>
    </xf>
    <xf numFmtId="0" fontId="28" fillId="0" borderId="31" xfId="1" applyFont="1" applyFill="1" applyBorder="1" applyAlignment="1" applyProtection="1">
      <alignment vertical="center" wrapText="1"/>
      <protection hidden="1"/>
    </xf>
    <xf numFmtId="0" fontId="28" fillId="0" borderId="29" xfId="1" applyFont="1" applyFill="1" applyBorder="1" applyAlignment="1" applyProtection="1">
      <alignment vertical="center" wrapText="1"/>
      <protection hidden="1"/>
    </xf>
    <xf numFmtId="0" fontId="28" fillId="0" borderId="30" xfId="1" applyFont="1" applyFill="1" applyBorder="1" applyAlignment="1" applyProtection="1">
      <alignment vertical="center" wrapText="1"/>
      <protection hidden="1"/>
    </xf>
    <xf numFmtId="164" fontId="3" fillId="2" borderId="0" xfId="1" applyNumberFormat="1" applyFont="1" applyFill="1" applyAlignment="1" applyProtection="1">
      <alignment horizontal="center" vertical="center"/>
    </xf>
    <xf numFmtId="2" fontId="1" fillId="0" borderId="0" xfId="1" applyNumberFormat="1" applyFont="1" applyBorder="1" applyAlignment="1" applyProtection="1">
      <alignment horizontal="center" vertical="center" wrapText="1"/>
    </xf>
    <xf numFmtId="166" fontId="1" fillId="0" borderId="0" xfId="1" applyNumberFormat="1" applyFont="1" applyBorder="1" applyAlignment="1" applyProtection="1">
      <alignment horizontal="center" vertical="center" wrapText="1"/>
    </xf>
    <xf numFmtId="2" fontId="1" fillId="0" borderId="0" xfId="1" applyNumberFormat="1" applyFont="1" applyAlignment="1">
      <alignment horizontal="left"/>
    </xf>
    <xf numFmtId="0" fontId="1" fillId="0" borderId="0" xfId="1" applyFont="1" applyAlignment="1">
      <alignment horizontal="left"/>
    </xf>
    <xf numFmtId="0" fontId="1" fillId="0" borderId="0" xfId="1" applyFont="1" applyFill="1"/>
    <xf numFmtId="1" fontId="1" fillId="0" borderId="0" xfId="1" applyNumberFormat="1" applyFont="1"/>
    <xf numFmtId="0" fontId="6" fillId="0" borderId="0" xfId="0" applyFont="1"/>
    <xf numFmtId="0" fontId="13" fillId="0" borderId="0" xfId="1" applyFont="1" applyBorder="1" applyAlignment="1" applyProtection="1">
      <alignment horizontal="left" vertical="center" wrapText="1"/>
      <protection hidden="1"/>
    </xf>
    <xf numFmtId="2" fontId="1" fillId="0" borderId="0" xfId="1" applyNumberFormat="1" applyFont="1"/>
    <xf numFmtId="0" fontId="5" fillId="0" borderId="9" xfId="0" applyFont="1" applyFill="1" applyBorder="1" applyAlignment="1" applyProtection="1">
      <alignment vertical="center"/>
    </xf>
    <xf numFmtId="0" fontId="32" fillId="0" borderId="0" xfId="4"/>
    <xf numFmtId="0" fontId="32" fillId="0" borderId="0" xfId="4" applyAlignment="1">
      <alignment vertical="center"/>
    </xf>
    <xf numFmtId="0" fontId="5" fillId="0" borderId="10" xfId="0" applyFont="1" applyFill="1" applyBorder="1" applyAlignment="1" applyProtection="1">
      <alignment vertical="center"/>
    </xf>
    <xf numFmtId="0" fontId="0" fillId="0" borderId="0" xfId="0" applyAlignment="1">
      <alignment horizontal="left" vertical="center"/>
    </xf>
    <xf numFmtId="0" fontId="7" fillId="0" borderId="9" xfId="0" applyFont="1" applyFill="1" applyBorder="1" applyAlignment="1" applyProtection="1">
      <alignment horizontal="center" vertical="center"/>
      <protection locked="0"/>
    </xf>
    <xf numFmtId="0" fontId="0" fillId="0" borderId="0" xfId="0" applyBorder="1" applyAlignment="1">
      <alignment horizontal="left"/>
    </xf>
    <xf numFmtId="168" fontId="0" fillId="0" borderId="0" xfId="0" applyNumberFormat="1" applyBorder="1" applyAlignment="1">
      <alignment horizontal="center"/>
    </xf>
    <xf numFmtId="0" fontId="0" fillId="0" borderId="0" xfId="0" applyAlignment="1">
      <alignment horizontal="center"/>
    </xf>
    <xf numFmtId="0" fontId="7" fillId="0" borderId="0" xfId="0" applyFont="1"/>
    <xf numFmtId="0" fontId="0" fillId="0" borderId="0" xfId="0" applyAlignment="1">
      <alignment wrapText="1"/>
    </xf>
    <xf numFmtId="49" fontId="0" fillId="0" borderId="0" xfId="0" applyNumberFormat="1"/>
    <xf numFmtId="0" fontId="37" fillId="0" borderId="0" xfId="0" applyFont="1"/>
    <xf numFmtId="1" fontId="36" fillId="0" borderId="0" xfId="0" applyNumberFormat="1" applyFont="1" applyAlignment="1">
      <alignment horizontal="center"/>
    </xf>
    <xf numFmtId="0" fontId="36" fillId="0" borderId="0" xfId="0" applyFont="1" applyAlignment="1">
      <alignment horizontal="center"/>
    </xf>
    <xf numFmtId="0" fontId="36" fillId="0" borderId="0" xfId="0" applyFont="1"/>
    <xf numFmtId="49" fontId="6" fillId="0" borderId="0" xfId="0" applyNumberFormat="1" applyFont="1"/>
    <xf numFmtId="0" fontId="0" fillId="0" borderId="10" xfId="0" applyBorder="1" applyAlignment="1">
      <alignment horizontal="left" vertical="center"/>
    </xf>
    <xf numFmtId="168" fontId="0" fillId="0" borderId="0" xfId="0" applyNumberFormat="1"/>
    <xf numFmtId="168" fontId="0" fillId="0" borderId="9" xfId="0" applyNumberFormat="1" applyBorder="1" applyAlignment="1">
      <alignment horizontal="center" vertical="center" shrinkToFit="1"/>
    </xf>
    <xf numFmtId="0" fontId="8" fillId="0" borderId="0" xfId="0" applyFont="1" applyAlignment="1">
      <alignment vertical="top" wrapText="1"/>
    </xf>
    <xf numFmtId="0" fontId="38" fillId="0" borderId="0" xfId="0" applyFont="1"/>
    <xf numFmtId="0" fontId="7" fillId="0" borderId="9" xfId="0" applyFont="1" applyBorder="1" applyAlignment="1" applyProtection="1">
      <alignment horizontal="center" vertical="center"/>
      <protection locked="0"/>
    </xf>
    <xf numFmtId="0" fontId="6" fillId="0" borderId="13" xfId="0" applyFont="1" applyBorder="1" applyAlignment="1" applyProtection="1">
      <alignment horizontal="center" vertical="center"/>
    </xf>
    <xf numFmtId="0" fontId="34" fillId="0" borderId="0" xfId="4" applyFont="1" applyBorder="1" applyAlignment="1" applyProtection="1">
      <alignment vertical="center"/>
    </xf>
    <xf numFmtId="0" fontId="6" fillId="0" borderId="9" xfId="0" applyFont="1" applyBorder="1" applyAlignment="1" applyProtection="1">
      <alignment horizontal="center" vertical="center"/>
    </xf>
    <xf numFmtId="0" fontId="0" fillId="0" borderId="5" xfId="0" applyBorder="1" applyAlignment="1">
      <alignment vertical="center"/>
    </xf>
    <xf numFmtId="2" fontId="6" fillId="0" borderId="9" xfId="0" applyNumberFormat="1" applyFont="1" applyBorder="1" applyAlignment="1" applyProtection="1">
      <alignment horizontal="center" vertical="center"/>
    </xf>
    <xf numFmtId="0" fontId="0" fillId="0" borderId="0" xfId="0" applyBorder="1" applyAlignment="1">
      <alignment vertical="center"/>
    </xf>
    <xf numFmtId="0" fontId="0" fillId="0" borderId="12" xfId="0" applyBorder="1" applyAlignment="1">
      <alignment vertical="center"/>
    </xf>
    <xf numFmtId="0" fontId="7" fillId="0" borderId="13" xfId="0" applyFont="1" applyBorder="1" applyAlignment="1" applyProtection="1">
      <alignment horizontal="center" vertical="center" shrinkToFit="1"/>
      <protection locked="0"/>
    </xf>
    <xf numFmtId="168" fontId="7" fillId="0" borderId="9" xfId="0" applyNumberFormat="1" applyFont="1" applyBorder="1" applyAlignment="1" applyProtection="1">
      <alignment horizontal="center" vertical="center"/>
      <protection locked="0"/>
    </xf>
    <xf numFmtId="0" fontId="0" fillId="0" borderId="12" xfId="0" applyBorder="1" applyAlignment="1">
      <alignment horizontal="center" vertical="center"/>
    </xf>
    <xf numFmtId="0" fontId="0" fillId="0" borderId="0" xfId="0" applyAlignment="1">
      <alignment horizontal="center"/>
    </xf>
    <xf numFmtId="2" fontId="0" fillId="0" borderId="0" xfId="0" applyNumberFormat="1" applyAlignment="1">
      <alignment horizontal="center"/>
    </xf>
    <xf numFmtId="3" fontId="6" fillId="0" borderId="9" xfId="0" applyNumberFormat="1" applyFont="1" applyBorder="1" applyAlignment="1" applyProtection="1">
      <alignment horizontal="center" vertical="center"/>
    </xf>
    <xf numFmtId="3" fontId="7" fillId="0" borderId="9" xfId="0" applyNumberFormat="1"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hidden="1"/>
    </xf>
    <xf numFmtId="164" fontId="3" fillId="2" borderId="8" xfId="0" applyNumberFormat="1" applyFont="1" applyFill="1" applyBorder="1" applyAlignment="1" applyProtection="1">
      <alignment horizontal="center" vertical="center"/>
      <protection locked="0"/>
    </xf>
    <xf numFmtId="168" fontId="0" fillId="0" borderId="0" xfId="0" applyNumberFormat="1" applyAlignment="1">
      <alignment horizontal="center"/>
    </xf>
    <xf numFmtId="0" fontId="35" fillId="0" borderId="0" xfId="0" applyFont="1" applyAlignment="1">
      <alignment horizontal="left" wrapText="1"/>
    </xf>
    <xf numFmtId="0" fontId="2" fillId="2" borderId="1" xfId="0" applyFont="1" applyFill="1" applyBorder="1" applyAlignment="1" applyProtection="1">
      <alignment horizontal="left" vertical="center"/>
      <protection hidden="1"/>
    </xf>
    <xf numFmtId="0" fontId="2" fillId="2" borderId="6" xfId="0" applyFont="1" applyFill="1" applyBorder="1" applyAlignment="1" applyProtection="1">
      <alignment horizontal="left" vertical="center"/>
      <protection hidden="1"/>
    </xf>
    <xf numFmtId="0" fontId="37" fillId="0" borderId="11" xfId="0" applyFont="1" applyBorder="1" applyAlignment="1" applyProtection="1">
      <alignment horizontal="right" wrapText="1"/>
    </xf>
    <xf numFmtId="0" fontId="37" fillId="0" borderId="12" xfId="0" applyFont="1" applyBorder="1" applyAlignment="1" applyProtection="1">
      <alignment horizontal="right" wrapText="1"/>
    </xf>
    <xf numFmtId="0" fontId="5" fillId="0" borderId="9" xfId="0" applyFont="1" applyFill="1" applyBorder="1" applyAlignment="1" applyProtection="1">
      <alignment horizontal="left" vertical="center"/>
    </xf>
    <xf numFmtId="0" fontId="4" fillId="0" borderId="10" xfId="0" applyFont="1" applyFill="1" applyBorder="1" applyAlignment="1" applyProtection="1">
      <alignment horizontal="left"/>
    </xf>
    <xf numFmtId="0" fontId="4" fillId="0" borderId="11" xfId="0" applyFont="1" applyFill="1" applyBorder="1" applyAlignment="1" applyProtection="1">
      <alignment horizontal="left"/>
    </xf>
    <xf numFmtId="0" fontId="4" fillId="0" borderId="12" xfId="0" applyFont="1" applyFill="1" applyBorder="1" applyAlignment="1" applyProtection="1">
      <alignment horizontal="left"/>
    </xf>
    <xf numFmtId="0" fontId="0" fillId="0" borderId="9" xfId="0" applyBorder="1" applyAlignment="1">
      <alignment horizontal="left" vertical="center"/>
    </xf>
    <xf numFmtId="0" fontId="0" fillId="0" borderId="9" xfId="0" applyBorder="1" applyAlignment="1">
      <alignment horizontal="left" vertical="center" wrapText="1"/>
    </xf>
    <xf numFmtId="0" fontId="0" fillId="0" borderId="10" xfId="0" applyBorder="1" applyAlignment="1">
      <alignment horizontal="left" vertical="center"/>
    </xf>
    <xf numFmtId="0" fontId="0" fillId="0" borderId="12" xfId="0" applyBorder="1" applyAlignment="1">
      <alignment horizontal="left" vertical="center"/>
    </xf>
    <xf numFmtId="0" fontId="0" fillId="0" borderId="10" xfId="0" applyBorder="1" applyAlignment="1">
      <alignment horizontal="left" vertical="center" shrinkToFit="1"/>
    </xf>
    <xf numFmtId="0" fontId="0" fillId="0" borderId="12" xfId="0" applyBorder="1" applyAlignment="1">
      <alignment horizontal="left" vertical="center" shrinkToFit="1"/>
    </xf>
    <xf numFmtId="0" fontId="4" fillId="0" borderId="10" xfId="0" applyFont="1" applyFill="1" applyBorder="1" applyAlignment="1" applyProtection="1">
      <alignment horizontal="left" vertical="center"/>
    </xf>
    <xf numFmtId="0" fontId="4" fillId="0" borderId="11" xfId="0" applyFont="1" applyFill="1" applyBorder="1" applyAlignment="1" applyProtection="1">
      <alignment horizontal="left" vertical="center"/>
    </xf>
    <xf numFmtId="0" fontId="4" fillId="0" borderId="12" xfId="0" applyFont="1" applyFill="1" applyBorder="1" applyAlignment="1" applyProtection="1">
      <alignment horizontal="left" vertical="center"/>
    </xf>
    <xf numFmtId="0" fontId="8" fillId="0" borderId="0" xfId="0" applyFont="1" applyAlignment="1">
      <alignment horizontal="left" vertical="center" wrapText="1"/>
    </xf>
    <xf numFmtId="0" fontId="5" fillId="0" borderId="10" xfId="0" applyFont="1" applyFill="1" applyBorder="1" applyAlignment="1" applyProtection="1">
      <alignment horizontal="left" vertical="center"/>
    </xf>
    <xf numFmtId="0" fontId="5" fillId="0" borderId="12" xfId="0" applyFont="1" applyFill="1" applyBorder="1" applyAlignment="1" applyProtection="1">
      <alignment horizontal="left" vertical="center"/>
    </xf>
    <xf numFmtId="0" fontId="33" fillId="0" borderId="0" xfId="0" applyFont="1" applyAlignment="1" applyProtection="1">
      <alignment horizontal="left" vertical="center" wrapText="1"/>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168" fontId="0" fillId="0" borderId="10" xfId="0" applyNumberFormat="1" applyBorder="1" applyAlignment="1">
      <alignment horizontal="left" vertical="center" shrinkToFit="1"/>
    </xf>
    <xf numFmtId="168" fontId="0" fillId="0" borderId="11" xfId="0" applyNumberFormat="1" applyBorder="1" applyAlignment="1">
      <alignment horizontal="left" vertical="center" shrinkToFit="1"/>
    </xf>
    <xf numFmtId="168" fontId="0" fillId="0" borderId="12" xfId="0" applyNumberFormat="1" applyBorder="1" applyAlignment="1">
      <alignment horizontal="left" vertical="center" shrinkToFit="1"/>
    </xf>
    <xf numFmtId="0" fontId="6" fillId="0" borderId="10" xfId="0" applyFont="1" applyBorder="1" applyAlignment="1" applyProtection="1">
      <alignment horizontal="left" vertical="center" wrapText="1"/>
    </xf>
    <xf numFmtId="0" fontId="6" fillId="0" borderId="11" xfId="0" applyFont="1" applyBorder="1" applyAlignment="1" applyProtection="1">
      <alignment horizontal="left" vertical="center" wrapText="1"/>
    </xf>
    <xf numFmtId="0" fontId="6" fillId="0" borderId="12" xfId="0" applyFont="1" applyBorder="1" applyAlignment="1" applyProtection="1">
      <alignment horizontal="left" vertical="center" wrapText="1"/>
    </xf>
    <xf numFmtId="0" fontId="3" fillId="2" borderId="2" xfId="0" applyFont="1" applyFill="1" applyBorder="1" applyAlignment="1" applyProtection="1">
      <alignment horizontal="left" vertical="center"/>
      <protection locked="0"/>
    </xf>
    <xf numFmtId="0" fontId="3" fillId="2" borderId="7" xfId="0" applyFont="1" applyFill="1" applyBorder="1" applyAlignment="1" applyProtection="1">
      <alignment horizontal="left" vertical="center"/>
      <protection locked="0"/>
    </xf>
    <xf numFmtId="0" fontId="7" fillId="0" borderId="13"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0" fillId="0" borderId="0" xfId="0" applyFont="1" applyAlignment="1">
      <alignment horizontal="left" wrapText="1"/>
    </xf>
    <xf numFmtId="0" fontId="0" fillId="0" borderId="0" xfId="0" applyAlignment="1">
      <alignment horizontal="left" wrapText="1"/>
    </xf>
    <xf numFmtId="0" fontId="0" fillId="0" borderId="0" xfId="0" applyAlignment="1">
      <alignment horizontal="left"/>
    </xf>
    <xf numFmtId="0" fontId="11" fillId="0" borderId="0" xfId="1" applyFont="1" applyAlignment="1" applyProtection="1">
      <alignment horizontal="center" vertical="center"/>
    </xf>
    <xf numFmtId="0" fontId="3" fillId="2" borderId="0" xfId="1" applyFont="1" applyFill="1" applyAlignment="1" applyProtection="1">
      <alignment horizontal="left" vertical="center"/>
    </xf>
    <xf numFmtId="0" fontId="13" fillId="0" borderId="1" xfId="1" applyFont="1" applyBorder="1" applyAlignment="1" applyProtection="1">
      <alignment horizontal="left" wrapText="1"/>
      <protection hidden="1"/>
    </xf>
    <xf numFmtId="0" fontId="13" fillId="0" borderId="15" xfId="1" applyFont="1" applyBorder="1" applyAlignment="1" applyProtection="1">
      <alignment horizontal="left" wrapText="1"/>
      <protection hidden="1"/>
    </xf>
    <xf numFmtId="0" fontId="13" fillId="0" borderId="2" xfId="1" applyFont="1" applyBorder="1" applyAlignment="1" applyProtection="1">
      <alignment horizontal="center" wrapText="1"/>
      <protection hidden="1"/>
    </xf>
    <xf numFmtId="0" fontId="13" fillId="0" borderId="16" xfId="1" applyFont="1" applyBorder="1" applyAlignment="1" applyProtection="1">
      <alignment horizontal="center" wrapText="1"/>
      <protection hidden="1"/>
    </xf>
    <xf numFmtId="0" fontId="13" fillId="0" borderId="10" xfId="1" applyFont="1" applyBorder="1" applyAlignment="1" applyProtection="1">
      <alignment horizontal="center" wrapText="1"/>
      <protection hidden="1"/>
    </xf>
    <xf numFmtId="0" fontId="13" fillId="0" borderId="11" xfId="1" applyFont="1" applyBorder="1" applyAlignment="1" applyProtection="1">
      <alignment horizontal="center" wrapText="1"/>
      <protection hidden="1"/>
    </xf>
    <xf numFmtId="0" fontId="13" fillId="0" borderId="12" xfId="1" applyFont="1" applyBorder="1" applyAlignment="1" applyProtection="1">
      <alignment horizontal="center" wrapText="1"/>
      <protection hidden="1"/>
    </xf>
    <xf numFmtId="0" fontId="15" fillId="3" borderId="7" xfId="1" applyFont="1" applyFill="1" applyBorder="1" applyAlignment="1" applyProtection="1">
      <alignment horizontal="center" vertical="center"/>
      <protection hidden="1"/>
    </xf>
    <xf numFmtId="0" fontId="13" fillId="0" borderId="0" xfId="1" applyFont="1" applyAlignment="1">
      <alignment horizontal="left"/>
    </xf>
    <xf numFmtId="0" fontId="13" fillId="0" borderId="0" xfId="1" applyFont="1" applyAlignment="1">
      <alignment horizontal="left" vertical="top" wrapText="1"/>
    </xf>
    <xf numFmtId="0" fontId="15" fillId="0" borderId="0" xfId="1" applyFont="1" applyBorder="1" applyAlignment="1" applyProtection="1">
      <alignment horizontal="left" vertical="center" wrapText="1"/>
      <protection hidden="1"/>
    </xf>
    <xf numFmtId="168" fontId="29" fillId="0" borderId="0" xfId="1" applyNumberFormat="1" applyFont="1" applyBorder="1" applyAlignment="1" applyProtection="1">
      <alignment horizontal="left" vertical="center"/>
    </xf>
    <xf numFmtId="0" fontId="30" fillId="0" borderId="0" xfId="1" applyFont="1" applyBorder="1" applyAlignment="1" applyProtection="1">
      <alignment horizontal="left" vertical="center"/>
      <protection hidden="1"/>
    </xf>
    <xf numFmtId="0" fontId="30" fillId="0" borderId="5" xfId="1" applyFont="1" applyBorder="1" applyAlignment="1" applyProtection="1">
      <alignment horizontal="left" vertical="center"/>
      <protection hidden="1"/>
    </xf>
    <xf numFmtId="0" fontId="13" fillId="0" borderId="4" xfId="1" applyFont="1" applyBorder="1" applyAlignment="1" applyProtection="1">
      <alignment horizontal="left" vertical="center" wrapText="1"/>
      <protection hidden="1"/>
    </xf>
    <xf numFmtId="0" fontId="13" fillId="0" borderId="0" xfId="1" applyFont="1" applyBorder="1" applyAlignment="1" applyProtection="1">
      <alignment horizontal="left" vertical="center" wrapText="1"/>
      <protection hidden="1"/>
    </xf>
    <xf numFmtId="0" fontId="27" fillId="3" borderId="7" xfId="1" applyFont="1" applyFill="1" applyBorder="1" applyAlignment="1" applyProtection="1">
      <alignment horizontal="center" vertical="center"/>
      <protection hidden="1"/>
    </xf>
    <xf numFmtId="0" fontId="0" fillId="0" borderId="0" xfId="0" applyAlignment="1">
      <alignment horizontal="center"/>
    </xf>
    <xf numFmtId="0" fontId="19" fillId="2" borderId="0" xfId="1" applyFont="1" applyFill="1" applyAlignment="1" applyProtection="1">
      <alignment horizontal="center" vertical="center"/>
    </xf>
  </cellXfs>
  <cellStyles count="5">
    <cellStyle name="Comma 2" xfId="3"/>
    <cellStyle name="Hyperlink" xfId="4" builtinId="8"/>
    <cellStyle name="Normal" xfId="0" builtinId="0"/>
    <cellStyle name="Normal 2" xfId="1"/>
    <cellStyle name="Percent 2" xfId="2"/>
  </cellStyles>
  <dxfs count="1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patternFill>
      </fill>
    </dxf>
    <dxf>
      <font>
        <color rgb="FF9C0006"/>
      </font>
      <fill>
        <patternFill patternType="none">
          <bgColor auto="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fill>
        <patternFill patternType="none">
          <bgColor auto="1"/>
        </patternFill>
      </fill>
    </dxf>
    <dxf>
      <font>
        <color rgb="FF0000FF"/>
      </font>
    </dxf>
    <dxf>
      <font>
        <color rgb="FF0000FF"/>
      </font>
      <fill>
        <patternFill patternType="none">
          <bgColor auto="1"/>
        </patternFill>
      </fill>
    </dxf>
    <dxf>
      <font>
        <strike/>
        <color rgb="FF9C0006"/>
      </font>
      <fill>
        <patternFill patternType="none">
          <bgColor auto="1"/>
        </patternFill>
      </fill>
    </dxf>
  </dxfs>
  <tableStyles count="0" defaultTableStyle="TableStyleMedium2" defaultPivotStyle="PivotStyleLight16"/>
  <colors>
    <mruColors>
      <color rgb="FFFFC7CE"/>
      <color rgb="FF9C000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'Construction Mat'!$J$51</c:f>
          <c:strCache>
            <c:ptCount val="1"/>
            <c:pt idx="0">
              <c:v>GeoTerra Construction Mat</c:v>
            </c:pt>
          </c:strCache>
        </c:strRef>
      </c:tx>
      <c:layout/>
      <c:overlay val="1"/>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'Construction Mat'!$J$55</c:f>
              <c:strCache>
                <c:ptCount val="1"/>
                <c:pt idx="0">
                  <c:v>Prepared Sub Grade, CBR = 2%</c:v>
                </c:pt>
              </c:strCache>
            </c:strRef>
          </c:tx>
          <c:spPr>
            <a:pattFill prst="weave">
              <a:fgClr>
                <a:srgbClr val="FFC000"/>
              </a:fgClr>
              <a:bgClr>
                <a:schemeClr val="bg1"/>
              </a:bgClr>
            </a:pattFill>
            <a:ln>
              <a:noFill/>
            </a:ln>
            <a:effectLst/>
          </c:spPr>
          <c:invertIfNegative val="0"/>
          <c:dLbls>
            <c:dLbl>
              <c:idx val="0"/>
              <c:spPr>
                <a:solidFill>
                  <a:schemeClr val="bg1"/>
                </a:solid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3-820C-449A-A706-534ACDC3D3AD}"/>
                </c:ext>
              </c:extLst>
            </c:dLbl>
            <c:spPr>
              <a:solidFill>
                <a:schemeClr val="bg1"/>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'Construction Mat'!$E$51</c:f>
              <c:numCache>
                <c:formatCode>0</c:formatCode>
                <c:ptCount val="1"/>
                <c:pt idx="0">
                  <c:v>12.5</c:v>
                </c:pt>
              </c:numCache>
            </c:numRef>
          </c:val>
          <c:extLst>
            <c:ext xmlns:c16="http://schemas.microsoft.com/office/drawing/2014/chart" uri="{C3380CC4-5D6E-409C-BE32-E72D297353CC}">
              <c16:uniqueId val="{00000002-7AA0-4CF8-B8B3-23F0B7B883A9}"/>
            </c:ext>
          </c:extLst>
        </c:ser>
        <c:ser>
          <c:idx val="1"/>
          <c:order val="1"/>
          <c:tx>
            <c:strRef>
              <c:f>'Construction Mat'!$J$54</c:f>
              <c:strCache>
                <c:ptCount val="1"/>
                <c:pt idx="0">
                  <c:v>Non-woven Geotextile</c:v>
                </c:pt>
              </c:strCache>
            </c:strRef>
          </c:tx>
          <c:spPr>
            <a:solidFill>
              <a:srgbClr val="C00000"/>
            </a:solidFill>
            <a:ln>
              <a:noFill/>
            </a:ln>
            <a:effectLst/>
          </c:spPr>
          <c:invertIfNegative val="0"/>
          <c:dLbls>
            <c:dLbl>
              <c:idx val="0"/>
              <c:spPr>
                <a:solidFill>
                  <a:schemeClr val="bg1"/>
                </a:solid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0-820C-449A-A706-534ACDC3D3AD}"/>
                </c:ext>
              </c:extLst>
            </c:dLbl>
            <c:spPr>
              <a:solidFill>
                <a:schemeClr val="bg1"/>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'Construction Mat'!$E$50</c:f>
              <c:numCache>
                <c:formatCode>0</c:formatCode>
                <c:ptCount val="1"/>
                <c:pt idx="0">
                  <c:v>3</c:v>
                </c:pt>
              </c:numCache>
            </c:numRef>
          </c:val>
          <c:extLst>
            <c:ext xmlns:c16="http://schemas.microsoft.com/office/drawing/2014/chart" uri="{C3380CC4-5D6E-409C-BE32-E72D297353CC}">
              <c16:uniqueId val="{00000003-7AA0-4CF8-B8B3-23F0B7B883A9}"/>
            </c:ext>
          </c:extLst>
        </c:ser>
        <c:ser>
          <c:idx val="2"/>
          <c:order val="2"/>
          <c:tx>
            <c:strRef>
              <c:f>'Construction Mat'!$J$53</c:f>
              <c:strCache>
                <c:ptCount val="1"/>
                <c:pt idx="0">
                  <c:v>Open Graded Base (Note 3B), 25 mm</c:v>
                </c:pt>
              </c:strCache>
            </c:strRef>
          </c:tx>
          <c:spPr>
            <a:pattFill prst="divot">
              <a:fgClr>
                <a:schemeClr val="tx1">
                  <a:lumMod val="50000"/>
                  <a:lumOff val="50000"/>
                </a:schemeClr>
              </a:fgClr>
              <a:bgClr>
                <a:schemeClr val="bg1"/>
              </a:bgClr>
            </a:pattFill>
            <a:ln>
              <a:solidFill>
                <a:schemeClr val="tx1">
                  <a:lumMod val="50000"/>
                  <a:lumOff val="50000"/>
                </a:schemeClr>
              </a:solidFill>
            </a:ln>
            <a:effectLst/>
          </c:spPr>
          <c:invertIfNegative val="0"/>
          <c:dPt>
            <c:idx val="0"/>
            <c:invertIfNegative val="0"/>
            <c:bubble3D val="0"/>
            <c:spPr>
              <a:pattFill prst="divot">
                <a:fgClr>
                  <a:schemeClr val="tx1">
                    <a:lumMod val="50000"/>
                    <a:lumOff val="50000"/>
                  </a:schemeClr>
                </a:fgClr>
                <a:bgClr>
                  <a:schemeClr val="bg1"/>
                </a:bgClr>
              </a:pattFill>
              <a:ln>
                <a:noFill/>
              </a:ln>
              <a:effectLst/>
            </c:spPr>
            <c:extLst>
              <c:ext xmlns:c16="http://schemas.microsoft.com/office/drawing/2014/chart" uri="{C3380CC4-5D6E-409C-BE32-E72D297353CC}">
                <c16:uniqueId val="{00000007-7AA0-4CF8-B8B3-23F0B7B883A9}"/>
              </c:ext>
            </c:extLst>
          </c:dPt>
          <c:dLbls>
            <c:dLbl>
              <c:idx val="0"/>
              <c:spPr>
                <a:solidFill>
                  <a:schemeClr val="bg1"/>
                </a:solid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7-7AA0-4CF8-B8B3-23F0B7B883A9}"/>
                </c:ext>
              </c:extLst>
            </c:dLbl>
            <c:spPr>
              <a:solidFill>
                <a:schemeClr val="bg1"/>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'Construction Mat'!$E$49</c:f>
              <c:numCache>
                <c:formatCode>0</c:formatCode>
                <c:ptCount val="1"/>
                <c:pt idx="0">
                  <c:v>25</c:v>
                </c:pt>
              </c:numCache>
            </c:numRef>
          </c:val>
          <c:extLst>
            <c:ext xmlns:c16="http://schemas.microsoft.com/office/drawing/2014/chart" uri="{C3380CC4-5D6E-409C-BE32-E72D297353CC}">
              <c16:uniqueId val="{00000004-7AA0-4CF8-B8B3-23F0B7B883A9}"/>
            </c:ext>
          </c:extLst>
        </c:ser>
        <c:ser>
          <c:idx val="3"/>
          <c:order val="3"/>
          <c:tx>
            <c:strRef>
              <c:f>'Construction Mat'!$J$52</c:f>
              <c:strCache>
                <c:ptCount val="1"/>
                <c:pt idx="0">
                  <c:v>GeoTerra (Note 3A), 50 mm</c:v>
                </c:pt>
              </c:strCache>
            </c:strRef>
          </c:tx>
          <c:spPr>
            <a:pattFill prst="dotGrid">
              <a:fgClr>
                <a:schemeClr val="tx1"/>
              </a:fgClr>
              <a:bgClr>
                <a:schemeClr val="bg1"/>
              </a:bgClr>
            </a:pattFill>
            <a:ln>
              <a:noFill/>
            </a:ln>
            <a:effectLst/>
          </c:spPr>
          <c:invertIfNegative val="0"/>
          <c:dLbls>
            <c:dLbl>
              <c:idx val="0"/>
              <c:spPr>
                <a:solidFill>
                  <a:schemeClr val="bg1"/>
                </a:solid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2-1198-44DD-BF71-E21498D48F42}"/>
                </c:ext>
              </c:extLst>
            </c:dLbl>
            <c:spPr>
              <a:solidFill>
                <a:schemeClr val="bg1"/>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'Construction Mat'!$E$48</c:f>
              <c:numCache>
                <c:formatCode>0</c:formatCode>
                <c:ptCount val="1"/>
                <c:pt idx="0">
                  <c:v>50</c:v>
                </c:pt>
              </c:numCache>
            </c:numRef>
          </c:val>
          <c:extLst>
            <c:ext xmlns:c16="http://schemas.microsoft.com/office/drawing/2014/chart" uri="{C3380CC4-5D6E-409C-BE32-E72D297353CC}">
              <c16:uniqueId val="{00000005-7AA0-4CF8-B8B3-23F0B7B883A9}"/>
            </c:ext>
          </c:extLst>
        </c:ser>
        <c:dLbls>
          <c:showLegendKey val="0"/>
          <c:showVal val="0"/>
          <c:showCatName val="0"/>
          <c:showSerName val="0"/>
          <c:showPercent val="0"/>
          <c:showBubbleSize val="0"/>
        </c:dLbls>
        <c:gapWidth val="3"/>
        <c:overlap val="100"/>
        <c:axId val="706502264"/>
        <c:axId val="706498984"/>
      </c:barChart>
      <c:dateAx>
        <c:axId val="706502264"/>
        <c:scaling>
          <c:orientation val="minMax"/>
        </c:scaling>
        <c:delete val="1"/>
        <c:axPos val="b"/>
        <c:numFmt formatCode="General" sourceLinked="1"/>
        <c:majorTickMark val="none"/>
        <c:minorTickMark val="none"/>
        <c:tickLblPos val="nextTo"/>
        <c:crossAx val="706498984"/>
        <c:crosses val="autoZero"/>
        <c:auto val="0"/>
        <c:lblOffset val="100"/>
        <c:baseTimeUnit val="days"/>
      </c:dateAx>
      <c:valAx>
        <c:axId val="706498984"/>
        <c:scaling>
          <c:orientation val="minMax"/>
        </c:scaling>
        <c:delete val="1"/>
        <c:axPos val="l"/>
        <c:numFmt formatCode="0" sourceLinked="1"/>
        <c:majorTickMark val="none"/>
        <c:minorTickMark val="none"/>
        <c:tickLblPos val="nextTo"/>
        <c:crossAx val="706502264"/>
        <c:crossesAt val="1"/>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419383</xdr:colOff>
      <xdr:row>39</xdr:row>
      <xdr:rowOff>17165</xdr:rowOff>
    </xdr:from>
    <xdr:to>
      <xdr:col>4</xdr:col>
      <xdr:colOff>518443</xdr:colOff>
      <xdr:row>56</xdr:row>
      <xdr:rowOff>111788</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76200</xdr:colOff>
      <xdr:row>0</xdr:row>
      <xdr:rowOff>95250</xdr:rowOff>
    </xdr:from>
    <xdr:to>
      <xdr:col>0</xdr:col>
      <xdr:colOff>1530350</xdr:colOff>
      <xdr:row>0</xdr:row>
      <xdr:rowOff>771914</xdr:rowOff>
    </xdr:to>
    <xdr:pic>
      <xdr:nvPicPr>
        <xdr:cNvPr id="2" name="Picture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6200" y="95250"/>
          <a:ext cx="1454150" cy="6766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152400</xdr:colOff>
      <xdr:row>0</xdr:row>
      <xdr:rowOff>114301</xdr:rowOff>
    </xdr:from>
    <xdr:to>
      <xdr:col>13</xdr:col>
      <xdr:colOff>203227</xdr:colOff>
      <xdr:row>26</xdr:row>
      <xdr:rowOff>9525</xdr:rowOff>
    </xdr:to>
    <xdr:pic>
      <xdr:nvPicPr>
        <xdr:cNvPr id="2" name="Picture 1"/>
        <xdr:cNvPicPr>
          <a:picLocks noChangeAspect="1"/>
        </xdr:cNvPicPr>
      </xdr:nvPicPr>
      <xdr:blipFill>
        <a:blip xmlns:r="http://schemas.openxmlformats.org/officeDocument/2006/relationships" r:embed="rId1"/>
        <a:stretch>
          <a:fillRect/>
        </a:stretch>
      </xdr:blipFill>
      <xdr:spPr>
        <a:xfrm>
          <a:off x="152400" y="114301"/>
          <a:ext cx="7975627" cy="4848224"/>
        </a:xfrm>
        <a:prstGeom prst="rect">
          <a:avLst/>
        </a:prstGeom>
        <a:ln w="88900" cap="sq" cmpd="thickThin">
          <a:solidFill>
            <a:srgbClr val="000000"/>
          </a:solidFill>
          <a:prstDash val="solid"/>
          <a:miter lim="800000"/>
        </a:ln>
        <a:effectLst>
          <a:innerShdw blurRad="76200">
            <a:srgbClr val="000000"/>
          </a:innerShdw>
        </a:effectLst>
      </xdr:spPr>
    </xdr:pic>
    <xdr:clientData/>
  </xdr:twoCellAnchor>
  <xdr:twoCellAnchor editAs="oneCell">
    <xdr:from>
      <xdr:col>14</xdr:col>
      <xdr:colOff>0</xdr:colOff>
      <xdr:row>0</xdr:row>
      <xdr:rowOff>114300</xdr:rowOff>
    </xdr:from>
    <xdr:to>
      <xdr:col>27</xdr:col>
      <xdr:colOff>48768</xdr:colOff>
      <xdr:row>26</xdr:row>
      <xdr:rowOff>7620</xdr:rowOff>
    </xdr:to>
    <xdr:pic>
      <xdr:nvPicPr>
        <xdr:cNvPr id="4" name="Picture 3"/>
        <xdr:cNvPicPr>
          <a:picLocks/>
        </xdr:cNvPicPr>
      </xdr:nvPicPr>
      <xdr:blipFill>
        <a:blip xmlns:r="http://schemas.openxmlformats.org/officeDocument/2006/relationships" r:embed="rId2"/>
        <a:stretch>
          <a:fillRect/>
        </a:stretch>
      </xdr:blipFill>
      <xdr:spPr>
        <a:xfrm>
          <a:off x="8534400" y="114300"/>
          <a:ext cx="7973568" cy="4846320"/>
        </a:xfrm>
        <a:prstGeom prst="rect">
          <a:avLst/>
        </a:prstGeom>
        <a:ln w="88900" cap="sq" cmpd="thickThin">
          <a:solidFill>
            <a:srgbClr val="000000"/>
          </a:solidFill>
          <a:prstDash val="solid"/>
          <a:miter lim="800000"/>
        </a:ln>
        <a:effectLst>
          <a:innerShdw blurRad="76200">
            <a:srgbClr val="000000"/>
          </a:innerShdw>
        </a:effectLst>
      </xdr:spPr>
    </xdr:pic>
    <xdr:clientData/>
  </xdr:twoCellAnchor>
  <xdr:twoCellAnchor>
    <xdr:from>
      <xdr:col>7</xdr:col>
      <xdr:colOff>38100</xdr:colOff>
      <xdr:row>2</xdr:row>
      <xdr:rowOff>38100</xdr:rowOff>
    </xdr:from>
    <xdr:to>
      <xdr:col>13</xdr:col>
      <xdr:colOff>95250</xdr:colOff>
      <xdr:row>5</xdr:row>
      <xdr:rowOff>114300</xdr:rowOff>
    </xdr:to>
    <xdr:sp macro="" textlink="">
      <xdr:nvSpPr>
        <xdr:cNvPr id="5" name="TextBox 4"/>
        <xdr:cNvSpPr txBox="1"/>
      </xdr:nvSpPr>
      <xdr:spPr>
        <a:xfrm>
          <a:off x="4305300" y="419100"/>
          <a:ext cx="3714750" cy="64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600" b="1" i="0" u="none" strike="noStrike">
            <a:solidFill>
              <a:srgbClr val="0000FF"/>
            </a:solidFill>
            <a:latin typeface="Arial"/>
            <a:cs typeface="Arial"/>
          </a:endParaRPr>
        </a:p>
      </xdr:txBody>
    </xdr:sp>
    <xdr:clientData/>
  </xdr:twoCellAnchor>
  <xdr:twoCellAnchor>
    <xdr:from>
      <xdr:col>9</xdr:col>
      <xdr:colOff>457200</xdr:colOff>
      <xdr:row>1</xdr:row>
      <xdr:rowOff>38100</xdr:rowOff>
    </xdr:from>
    <xdr:to>
      <xdr:col>13</xdr:col>
      <xdr:colOff>123825</xdr:colOff>
      <xdr:row>5</xdr:row>
      <xdr:rowOff>123826</xdr:rowOff>
    </xdr:to>
    <xdr:sp macro="" textlink="$B$32">
      <xdr:nvSpPr>
        <xdr:cNvPr id="3" name="TextBox 2"/>
        <xdr:cNvSpPr txBox="1"/>
      </xdr:nvSpPr>
      <xdr:spPr>
        <a:xfrm>
          <a:off x="5943600" y="228600"/>
          <a:ext cx="2105025" cy="8477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fld id="{8BB39908-D177-4E56-8B41-E785EF688B1D}" type="TxLink">
            <a:rPr lang="en-US" sz="1600" b="1" i="0" u="none" strike="noStrike">
              <a:solidFill>
                <a:srgbClr val="000000"/>
              </a:solidFill>
              <a:latin typeface="Arial"/>
              <a:cs typeface="Arial"/>
            </a:rPr>
            <a:pPr algn="r"/>
            <a:t>Imperial: GeoTerra Correlation Chart</a:t>
          </a:fld>
          <a:endParaRPr lang="en-US" sz="1100"/>
        </a:p>
      </xdr:txBody>
    </xdr:sp>
    <xdr:clientData/>
  </xdr:twoCellAnchor>
  <xdr:twoCellAnchor>
    <xdr:from>
      <xdr:col>20</xdr:col>
      <xdr:colOff>552450</xdr:colOff>
      <xdr:row>1</xdr:row>
      <xdr:rowOff>171450</xdr:rowOff>
    </xdr:from>
    <xdr:to>
      <xdr:col>27</xdr:col>
      <xdr:colOff>0</xdr:colOff>
      <xdr:row>5</xdr:row>
      <xdr:rowOff>57150</xdr:rowOff>
    </xdr:to>
    <xdr:sp macro="" textlink="">
      <xdr:nvSpPr>
        <xdr:cNvPr id="8" name="TextBox 7"/>
        <xdr:cNvSpPr txBox="1"/>
      </xdr:nvSpPr>
      <xdr:spPr>
        <a:xfrm>
          <a:off x="12744450" y="361950"/>
          <a:ext cx="3714750" cy="64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600" b="1" i="0" u="none" strike="noStrike">
            <a:solidFill>
              <a:srgbClr val="0000FF"/>
            </a:solidFill>
            <a:latin typeface="Arial"/>
            <a:cs typeface="Arial"/>
          </a:endParaRPr>
        </a:p>
      </xdr:txBody>
    </xdr:sp>
    <xdr:clientData/>
  </xdr:twoCellAnchor>
  <xdr:twoCellAnchor>
    <xdr:from>
      <xdr:col>23</xdr:col>
      <xdr:colOff>561975</xdr:colOff>
      <xdr:row>1</xdr:row>
      <xdr:rowOff>1</xdr:rowOff>
    </xdr:from>
    <xdr:to>
      <xdr:col>27</xdr:col>
      <xdr:colOff>0</xdr:colOff>
      <xdr:row>5</xdr:row>
      <xdr:rowOff>104775</xdr:rowOff>
    </xdr:to>
    <xdr:sp macro="" textlink="$B$33">
      <xdr:nvSpPr>
        <xdr:cNvPr id="6" name="TextBox 5"/>
        <xdr:cNvSpPr txBox="1"/>
      </xdr:nvSpPr>
      <xdr:spPr>
        <a:xfrm>
          <a:off x="14582775" y="190501"/>
          <a:ext cx="1876425" cy="8667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fld id="{15C7C492-CDD9-4135-8C26-1F1AD244C1AD}" type="TxLink">
            <a:rPr lang="en-US" sz="1600" b="1" i="0" u="none" strike="noStrike">
              <a:solidFill>
                <a:srgbClr val="000000"/>
              </a:solidFill>
              <a:latin typeface="Arial"/>
              <a:cs typeface="Arial"/>
            </a:rPr>
            <a:pPr algn="r"/>
            <a:t>Metric: GeoTerra Correlation Chart</a:t>
          </a:fld>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123825</xdr:colOff>
      <xdr:row>0</xdr:row>
      <xdr:rowOff>104775</xdr:rowOff>
    </xdr:from>
    <xdr:to>
      <xdr:col>0</xdr:col>
      <xdr:colOff>1577975</xdr:colOff>
      <xdr:row>0</xdr:row>
      <xdr:rowOff>781439</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825" y="104775"/>
          <a:ext cx="1454150" cy="67666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104775</xdr:colOff>
      <xdr:row>0</xdr:row>
      <xdr:rowOff>123825</xdr:rowOff>
    </xdr:from>
    <xdr:to>
      <xdr:col>0</xdr:col>
      <xdr:colOff>1558925</xdr:colOff>
      <xdr:row>0</xdr:row>
      <xdr:rowOff>800489</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123825"/>
          <a:ext cx="1454150" cy="676664"/>
        </a:xfrm>
        <a:prstGeom prst="rect">
          <a:avLst/>
        </a:prstGeom>
      </xdr:spPr>
    </xdr:pic>
    <xdr:clientData/>
  </xdr:twoCellAnchor>
</xdr:wsDr>
</file>

<file path=xl/tables/table1.xml><?xml version="1.0" encoding="utf-8"?>
<table xmlns="http://schemas.openxmlformats.org/spreadsheetml/2006/main" id="6" name="Table6" displayName="Table6" ref="R2:R6" totalsRowShown="0">
  <autoFilter ref="R2:R6"/>
  <tableColumns count="1">
    <tableColumn id="1" name="Blank"/>
  </tableColumns>
  <tableStyleInfo name="TableStyleLight4" showFirstColumn="0" showLastColumn="0" showRowStripes="1" showColumnStripes="0"/>
</table>
</file>

<file path=xl/tables/table2.xml><?xml version="1.0" encoding="utf-8"?>
<table xmlns="http://schemas.openxmlformats.org/spreadsheetml/2006/main" id="7" name="Table7" displayName="Table7" ref="S2:S4" totalsRowShown="0">
  <autoFilter ref="S2:S4"/>
  <tableColumns count="1">
    <tableColumn id="1" name="Product"/>
  </tableColumns>
  <tableStyleInfo name="TableStyleLight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xDef>
      <a:spPr>
        <a:solidFill>
          <a:schemeClr val="lt1"/>
        </a:solidFill>
        <a:ln w="9525" cmpd="sng">
          <a:noFill/>
        </a:ln>
      </a:spPr>
      <a:bodyPr vertOverflow="clip" horzOverflow="clip" wrap="square" rtlCol="0" anchor="t"/>
      <a:lstStyle>
        <a:defPPr>
          <a:defRPr sz="1600" b="1" i="0" u="none" strike="noStrike">
            <a:solidFill>
              <a:srgbClr val="0000FF"/>
            </a:solidFill>
            <a:latin typeface="Arial"/>
            <a:cs typeface="Arial"/>
          </a:defRPr>
        </a:defPPr>
      </a:lstStyle>
      <a:style>
        <a:lnRef idx="0">
          <a:scrgbClr r="0" g="0" b="0"/>
        </a:lnRef>
        <a:fillRef idx="0">
          <a:scrgbClr r="0" g="0" b="0"/>
        </a:fillRef>
        <a:effectRef idx="0">
          <a:scrgbClr r="0" g="0" b="0"/>
        </a:effectRef>
        <a:fontRef idx="minor">
          <a:schemeClr val="dk1"/>
        </a:fontRef>
      </a:style>
    </a:tx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9"/>
  <sheetViews>
    <sheetView tabSelected="1" view="pageBreakPreview" zoomScale="85" zoomScaleNormal="100" zoomScaleSheetLayoutView="85" workbookViewId="0">
      <selection activeCell="C9" sqref="C9:C10"/>
    </sheetView>
  </sheetViews>
  <sheetFormatPr defaultColWidth="9.68359375" defaultRowHeight="14.4" x14ac:dyDescent="0.55000000000000004"/>
  <cols>
    <col min="1" max="1" width="24" customWidth="1"/>
    <col min="2" max="2" width="28.1015625" customWidth="1"/>
    <col min="3" max="3" width="13.41796875" style="2" bestFit="1" customWidth="1"/>
    <col min="4" max="4" width="35" style="3" customWidth="1"/>
    <col min="5" max="5" width="14.89453125" customWidth="1"/>
    <col min="6" max="6" width="1.41796875" hidden="1" customWidth="1"/>
    <col min="7" max="7" width="0.3125" hidden="1" customWidth="1"/>
    <col min="8" max="9" width="0.5234375" hidden="1" customWidth="1"/>
    <col min="10" max="10" width="1" hidden="1" customWidth="1"/>
    <col min="11" max="11" width="17.89453125" hidden="1" customWidth="1"/>
    <col min="12" max="12" width="25.3125" customWidth="1"/>
    <col min="13" max="16" width="9.68359375" customWidth="1"/>
  </cols>
  <sheetData>
    <row r="1" spans="1:16" ht="68.25" customHeight="1" x14ac:dyDescent="0.7">
      <c r="A1" s="131"/>
      <c r="B1" s="243" t="str">
        <f>IF(C6="Geoweb",CONCATENATE(G1,CHAR(10)," ",C6," ",H1),CONCATENATE(G1,CHAR(10),C6," ",H1))</f>
        <v>Construction Mats Using The
GeoTerra System</v>
      </c>
      <c r="C1" s="243"/>
      <c r="D1" s="243"/>
      <c r="E1" s="244"/>
      <c r="F1" s="130"/>
      <c r="G1" s="130" t="s">
        <v>151</v>
      </c>
      <c r="H1" s="130" t="s">
        <v>136</v>
      </c>
    </row>
    <row r="2" spans="1:16" ht="26.25" customHeight="1" x14ac:dyDescent="0.55000000000000004">
      <c r="A2" s="241" t="s">
        <v>29</v>
      </c>
      <c r="B2" s="271" t="s">
        <v>177</v>
      </c>
      <c r="C2" s="271"/>
      <c r="D2" s="271"/>
      <c r="E2" s="237" t="s">
        <v>30</v>
      </c>
    </row>
    <row r="3" spans="1:16" ht="26.25" customHeight="1" x14ac:dyDescent="0.55000000000000004">
      <c r="A3" s="242"/>
      <c r="B3" s="272"/>
      <c r="C3" s="272"/>
      <c r="D3" s="272"/>
      <c r="E3" s="238" t="s">
        <v>132</v>
      </c>
    </row>
    <row r="4" spans="1:16" ht="15.3" x14ac:dyDescent="0.55000000000000004">
      <c r="A4" s="246" t="s">
        <v>11</v>
      </c>
      <c r="B4" s="247"/>
      <c r="C4" s="247"/>
      <c r="D4" s="247"/>
      <c r="E4" s="248"/>
      <c r="F4" s="1"/>
      <c r="G4" s="1"/>
      <c r="H4" s="1"/>
      <c r="I4" s="1"/>
      <c r="J4" s="1"/>
      <c r="K4" s="1"/>
      <c r="L4" s="1"/>
      <c r="M4" s="1"/>
      <c r="N4" s="1"/>
      <c r="O4" s="1"/>
      <c r="P4" s="1"/>
    </row>
    <row r="5" spans="1:16" x14ac:dyDescent="0.55000000000000004">
      <c r="A5" s="245" t="s">
        <v>13</v>
      </c>
      <c r="B5" s="245"/>
      <c r="C5" s="222" t="s">
        <v>15</v>
      </c>
      <c r="D5" s="249"/>
      <c r="E5" s="249"/>
      <c r="F5" s="209" t="s">
        <v>138</v>
      </c>
    </row>
    <row r="6" spans="1:16" x14ac:dyDescent="0.55000000000000004">
      <c r="A6" s="249" t="s">
        <v>17</v>
      </c>
      <c r="B6" s="249"/>
      <c r="C6" s="222" t="s">
        <v>163</v>
      </c>
      <c r="D6" s="249" t="str">
        <f>IF(C20="Vegetated","Options: Geoblock, Geoblock5150, or Geoweb",IF(C20="Aggregate","Options: Geoweb or Geopave",""))</f>
        <v/>
      </c>
      <c r="E6" s="249"/>
    </row>
    <row r="7" spans="1:16" x14ac:dyDescent="0.55000000000000004">
      <c r="A7" s="259" t="s">
        <v>146</v>
      </c>
      <c r="B7" s="260"/>
      <c r="C7" s="223" t="str">
        <f>IF(C5="E","12 inches","300 mm")</f>
        <v>300 mm</v>
      </c>
      <c r="D7" s="224" t="s">
        <v>161</v>
      </c>
      <c r="E7" s="224"/>
    </row>
    <row r="8" spans="1:16" x14ac:dyDescent="0.55000000000000004">
      <c r="A8" s="259" t="s">
        <v>167</v>
      </c>
      <c r="B8" s="260"/>
      <c r="C8" s="230" t="s">
        <v>131</v>
      </c>
      <c r="D8" s="217" t="s">
        <v>148</v>
      </c>
      <c r="E8" s="232">
        <f>IF(C8="Enhanced Woven",5.3,2.8)</f>
        <v>2.8</v>
      </c>
    </row>
    <row r="9" spans="1:16" x14ac:dyDescent="0.55000000000000004">
      <c r="A9" s="245" t="s">
        <v>12</v>
      </c>
      <c r="B9" s="245"/>
      <c r="C9" s="273" t="s">
        <v>2</v>
      </c>
      <c r="D9" s="250" t="s">
        <v>149</v>
      </c>
      <c r="E9" s="250"/>
      <c r="G9" t="str">
        <f>IF(AND(C5="E",C9="H-20",OR(E12&gt;150,E12&lt;100)),"No",IF(AND(C5="M",C9="H-20",OR(E12&gt;1050,E12&lt;690)),"No","Yes"))</f>
        <v>Yes</v>
      </c>
      <c r="H9" t="str">
        <f>IF(AND(C5="E",C9="H-15",OR(E12&gt;95,E12&lt;75)),"No",IF(AND(C5="M",C9="H-15",OR(E12&gt;655,E12&lt;515)),"No","Yes"))</f>
        <v>No</v>
      </c>
      <c r="I9" t="str">
        <f>IF(AND(C5="E",C9="H-10",OR(E12&gt;70,E12&lt;50)),"No",IF(AND(C5="M",C9="H-10",OR(E12&gt;485,E12&lt;345)),"No","Yes"))</f>
        <v>Yes</v>
      </c>
      <c r="J9" t="str">
        <f>IF(AND(C5="E",C9="Passenger",OR(E12&gt;55,E12&lt;30)),"No",IF(AND(C5="M",C9="Passenger",OR(E12&gt;380,E12&lt;200)),"No","Yes"))</f>
        <v>Yes</v>
      </c>
    </row>
    <row r="10" spans="1:16" x14ac:dyDescent="0.55000000000000004">
      <c r="A10" s="245"/>
      <c r="B10" s="245"/>
      <c r="C10" s="274"/>
      <c r="D10" s="250"/>
      <c r="E10" s="250"/>
      <c r="G10" t="str">
        <f>IF(AND(C5="E",C9="H-20",OR(E13&gt;100000,E13&lt;70000)),"No",IF(AND(C5="M",C9="H-20",OR(E13&gt;450,E13&lt;310)),"No","Yes"))</f>
        <v>Yes</v>
      </c>
      <c r="H10" t="str">
        <f>IF(AND(C5="E",C9="H-15",OR(E13&gt;70000,E13&lt;50000)),"No",IF(AND(C5="M",C9="H-15",OR(E13&gt;310,E13&lt;220)),"No","Yes"))</f>
        <v>No</v>
      </c>
      <c r="I10" t="str">
        <f>IF(AND(C5="E",C9="H-10",OR(E13&gt;45000,E13&lt;35000)),"No",IF(AND(C5="M",C9="H-10",OR(E13&gt;200,E13&lt;155)),"No","Yes"))</f>
        <v>Yes</v>
      </c>
      <c r="J10" t="str">
        <f>IF(AND(C5="E",C9="Passenger",OR(E13&gt;13000,E13&lt;3000)),"No",IF(AND(C5="M",C9="Passenger",OR(E13&gt;60,E13&lt;13)),"No","Yes"))</f>
        <v>Yes</v>
      </c>
    </row>
    <row r="11" spans="1:16" ht="17.25" customHeight="1" x14ac:dyDescent="0.55000000000000004">
      <c r="A11" s="245" t="s">
        <v>21</v>
      </c>
      <c r="B11" s="245"/>
      <c r="C11" s="275" t="str">
        <f>IF(C9="H-20","Heavy Fire Truck or Large Construction Equipment",IF(C9="H-15","Light Fire  Truck or Medium Construction Equipment",IF(C9="H-10","Utility &amp; Delivery Truck or Light Construction Equipment",IF(C9="Passenger","Car &amp; Pick-Up Truck",""))))</f>
        <v>Light Fire  Truck or Medium Construction Equipment</v>
      </c>
      <c r="D11" s="276"/>
      <c r="E11" s="277"/>
      <c r="G11" t="str">
        <f>IF(AND(C5="E",C9="H-20",OR(E14&gt;48,E14&lt;27)),"No",IF(AND(C5="M",C9="H-20",OR(E14&gt;215,E14&lt;120)),"No","Yes"))</f>
        <v>Yes</v>
      </c>
      <c r="H11" t="str">
        <f>IF(AND(C5="E",C9="H-15",OR(E14&gt;29,E14&lt;19)),"No",IF(AND(C5="M",C9="H-15",OR(E14&gt;130,E14&lt;85)),"No","Yes"))</f>
        <v>Yes</v>
      </c>
      <c r="I11" t="str">
        <f>IF(AND(C5="E",C9="H-10",OR(E14&gt;21,E14&lt;11)),"No",IF(AND(C5="M",C9="H-10",OR(E14&gt;95,E14&lt;45)),"No","Yes"))</f>
        <v>Yes</v>
      </c>
      <c r="J11" t="str">
        <f>IF(AND(C5="E",C9="Passenger",OR(E14&gt;8,E14&lt;2)),"No",IF(AND(C5="M",C9="Passenger",OR(E14&gt;35,E14&lt;8)),"No","Yes"))</f>
        <v>Yes</v>
      </c>
    </row>
    <row r="12" spans="1:16" x14ac:dyDescent="0.55000000000000004">
      <c r="A12" s="245" t="str">
        <f>IF(C5="E","AASHTO Tire Pressure (psi)","AASHTO Tire Pressure (kPa)")</f>
        <v>AASHTO Tire Pressure (kPa)</v>
      </c>
      <c r="B12" s="245"/>
      <c r="C12" s="225">
        <f>IF(AND(C5="E",C9="H-20"),110,IF(AND(C5="M",C9="H-20"),758,IF(AND(C5="E",C9="H-15"),85,IF(AND(C5="M",C9="H-15"),586,IF(AND(C5="E",C9="H-10"),60,IF(AND(C5="M",C9="H-10"),414,IF(AND(C5="E",C9="Passenger"),45,IF(AND(C5="M",C9="Passenger"),310,""))))))))</f>
        <v>586</v>
      </c>
      <c r="D12" s="200" t="str">
        <f>IF(C5="E","Specified Tire Pressure (psi)","Specified Tire Pressure (kPa)")</f>
        <v>Specified Tire Pressure (kPa)</v>
      </c>
      <c r="E12" s="205">
        <v>310</v>
      </c>
      <c r="G12" s="204" t="str">
        <f>IF(AND(C5="E",C9="H-20",OR(G9="No",G10="No",G11="No")),"No",IF(AND(C5="M",C9="H-20",OR(G9="No",G10="No",G11="No")),"No","Yes"))</f>
        <v>Yes</v>
      </c>
      <c r="H12" s="204" t="str">
        <f>IF(AND(C5="E",C9="H-15",OR(H9="No",H10="No",H11="No")),"No",IF(AND(C5="M",C9="H-15",OR(H9="No",H10="No",H11="No")),"No","Yes"))</f>
        <v>No</v>
      </c>
      <c r="I12" s="204" t="str">
        <f>IF(AND(C5="E",C9="H-10",OR(I9="No",I10="No",I11="No")),"No",IF(AND(C5="M",C9="H-10",OR(I9="No",I10="No",I11="No")),"No","Yes"))</f>
        <v>Yes</v>
      </c>
      <c r="J12" s="204" t="str">
        <f>IF(AND(C5="E",C9="Passenger",OR(J9="No",J10="No",J11="No")),"No",IF(AND(C5="M",C9="Passenger",OR(J9="No",J10="No",J11="No")),"No","Yes"))</f>
        <v>Yes</v>
      </c>
    </row>
    <row r="13" spans="1:16" x14ac:dyDescent="0.55000000000000004">
      <c r="A13" s="259" t="str">
        <f>IF(C5="E","AASHTO Vehicle Load (lbs)","AASHTO Vehicle Load (kN)")</f>
        <v>AASHTO Vehicle Load (kN)</v>
      </c>
      <c r="B13" s="260"/>
      <c r="C13" s="235">
        <f>IF(AND(C5="E",C9="H-20"),80000,IF(AND(C5="M",C9="H-20"),356,IF(AND(C5="E",C9="H-15"),60000,IF(AND(C5="M",C9="H-15"),267,IF(AND(C5="E",C9="H-10"),40000,IF(AND(C5="M",C9="H-10"),178,IF(AND(C5="E",C9="Passenger"),8000,IF(AND(C5="M",C9="Passenger"),36,""))))))))</f>
        <v>267</v>
      </c>
      <c r="D13" s="203" t="str">
        <f>IF(C5="E","Specified Vehicle Load (lbs)","Specified Vehicle Load (kN)")</f>
        <v>Specified Vehicle Load (kN)</v>
      </c>
      <c r="E13" s="236">
        <v>36</v>
      </c>
      <c r="F13" s="3"/>
      <c r="G13" s="3" t="str">
        <f>IF(C9="H-20",G12,IF(C9="H-15",H12,IF(C9="H-10",I12,IF(C9="Passenger",J12,"Error"))))</f>
        <v>No</v>
      </c>
      <c r="H13" s="3"/>
    </row>
    <row r="14" spans="1:16" ht="14.4" customHeight="1" x14ac:dyDescent="0.55000000000000004">
      <c r="A14" s="245" t="str">
        <f>IF(C5="E","AASHTO Single Axle Loading (kips)","AASHTO Single Axle Loading (kN)")</f>
        <v>AASHTO Single Axle Loading (kN)</v>
      </c>
      <c r="B14" s="245"/>
      <c r="C14" s="225">
        <f>IF(AND(C5="E",C9="H-20"),32,IF(AND(C5="M",C9="H-20"),145,IF(AND(C5="E",C9="H-15"),24,IF(AND(C5="M",C9="H-15"),110,IF(AND(C5="E",C9="H-10"),16,IF(AND(C5="M",C9="H-10"),75,IF(AND(C5="E",C9="Passenger"),4,IF(AND(C5="M",C9="Passenger"),18,""))))))))</f>
        <v>110</v>
      </c>
      <c r="D14" s="200" t="str">
        <f>IF(C5="E","Specified Single Axle Loading (kips)","Specified Single Axle Loading (kN)")</f>
        <v>Specified Single Axle Loading (kN)</v>
      </c>
      <c r="E14" s="205">
        <f>C14</f>
        <v>110</v>
      </c>
    </row>
    <row r="15" spans="1:16" ht="14.4" customHeight="1" x14ac:dyDescent="0.55000000000000004">
      <c r="A15" s="249" t="s">
        <v>19</v>
      </c>
      <c r="B15" s="249"/>
      <c r="C15" s="268" t="s">
        <v>134</v>
      </c>
      <c r="D15" s="269"/>
      <c r="E15" s="270"/>
    </row>
    <row r="16" spans="1:16" ht="14.4" customHeight="1" x14ac:dyDescent="0.55000000000000004">
      <c r="A16" s="249" t="s">
        <v>133</v>
      </c>
      <c r="B16" s="249"/>
      <c r="C16" s="231">
        <v>2</v>
      </c>
      <c r="D16" s="224" t="s">
        <v>135</v>
      </c>
      <c r="E16" s="226"/>
    </row>
    <row r="17" spans="1:11" x14ac:dyDescent="0.55000000000000004">
      <c r="A17" s="249" t="s">
        <v>18</v>
      </c>
      <c r="B17" s="249"/>
      <c r="C17" s="222" t="s">
        <v>140</v>
      </c>
      <c r="D17" s="249" t="str">
        <f>IF(C17="0-2","Flat Slope",IF(C17="3-6","Average Slope","Steep Slope"))</f>
        <v>Flat Slope</v>
      </c>
      <c r="E17" s="249"/>
      <c r="G17" s="233" t="s">
        <v>169</v>
      </c>
      <c r="H17" s="233" t="s">
        <v>169</v>
      </c>
    </row>
    <row r="18" spans="1:11" x14ac:dyDescent="0.55000000000000004">
      <c r="A18" s="251" t="s">
        <v>144</v>
      </c>
      <c r="B18" s="252"/>
      <c r="C18" s="222" t="s">
        <v>24</v>
      </c>
      <c r="D18" s="251" t="str">
        <f>IF(C18="Sand","Soil is considered pervious and will inflitrate","Soil is considered impervious and will not inflitrate")</f>
        <v>Soil is considered impervious and will not inflitrate</v>
      </c>
      <c r="E18" s="252"/>
      <c r="G18" s="233" t="s">
        <v>170</v>
      </c>
      <c r="H18" s="233" t="s">
        <v>171</v>
      </c>
    </row>
    <row r="19" spans="1:11" x14ac:dyDescent="0.55000000000000004">
      <c r="A19" s="251" t="str">
        <f>IF(C5="E","Shear Strength, Cu (psi)","Shear Strength, Cu (kPa)")</f>
        <v>Shear Strength, Cu (kPa)</v>
      </c>
      <c r="B19" s="252"/>
      <c r="C19" s="5">
        <f>IF(C5="E",C16*4.38,C16*15)</f>
        <v>30</v>
      </c>
      <c r="D19" s="251" t="str">
        <f>IF(C5="E","Cu = 4.38 x CBR","Cu = 15 x CBR")</f>
        <v>Cu = 15 x CBR</v>
      </c>
      <c r="E19" s="252"/>
      <c r="G19" s="234">
        <f>SQRT(((1000*E14)/2)/(E12*PI()))</f>
        <v>7.5149407612775798</v>
      </c>
      <c r="H19" s="234">
        <f>SQRT(((E14)/2)/(E12*PI()))*100</f>
        <v>23.764329286876844</v>
      </c>
    </row>
    <row r="20" spans="1:11" x14ac:dyDescent="0.55000000000000004">
      <c r="A20" s="249" t="str">
        <f>IF(C5="E","Allowable Bearing Capacity, qa (psi)","Allowable Bearing Capacity, qa (kPa)")</f>
        <v>Allowable Bearing Capacity, qa (kPa)</v>
      </c>
      <c r="B20" s="249"/>
      <c r="C20" s="227">
        <f>C19*E8</f>
        <v>84</v>
      </c>
      <c r="D20" s="228" t="s">
        <v>147</v>
      </c>
      <c r="E20" s="226"/>
      <c r="G20" s="234">
        <f>IF(C9="Passenger",0,G19/SQRT(1/(1-(C20/E12))^(2/3)-1))</f>
        <v>15.517615500086563</v>
      </c>
      <c r="H20" s="234">
        <f>H19/SQRT(1/(1-(C20/E12))^(2/3)-1)</f>
        <v>49.07100883500631</v>
      </c>
      <c r="K20" s="11"/>
    </row>
    <row r="21" spans="1:11" x14ac:dyDescent="0.55000000000000004">
      <c r="A21" s="4" t="str">
        <f>CONCATENATE(G18," ",C6,IF(C5="E"," (in)"," (cm)"))</f>
        <v>Thickness W/O " GeoTerra (cm)</v>
      </c>
      <c r="B21" s="229"/>
      <c r="C21" s="227">
        <f>IF(C5="E",G20,H20)</f>
        <v>49.07100883500631</v>
      </c>
      <c r="D21" s="249" t="str">
        <f>CONCATENATE("Aggregate + ",C8," Geotextile")</f>
        <v>Aggregate + Non-woven Geotextile</v>
      </c>
      <c r="E21" s="249"/>
      <c r="G21" s="239">
        <f>IF(G20&lt;0,0,G20)</f>
        <v>15.517615500086563</v>
      </c>
      <c r="K21" s="11"/>
    </row>
    <row r="22" spans="1:11" x14ac:dyDescent="0.55000000000000004">
      <c r="A22" s="249" t="str">
        <f>IF(C6&lt;&gt;"Geoweb","",IF(AND(C5="E",C6="Geoweb"),"If deeper Geoweb is desired, select depth (in)","If deeper Geoweb is desired, select depth (in)"))</f>
        <v/>
      </c>
      <c r="B22" s="249"/>
      <c r="C22" s="222"/>
      <c r="D22" s="251" t="str">
        <f>IF(AND(A22="",C22&lt;&gt;""),"Delete this value","")</f>
        <v/>
      </c>
      <c r="E22" s="252"/>
      <c r="K22" s="11"/>
    </row>
    <row r="23" spans="1:11" ht="15" x14ac:dyDescent="0.55000000000000004">
      <c r="A23" s="255" t="s">
        <v>20</v>
      </c>
      <c r="B23" s="256"/>
      <c r="C23" s="256"/>
      <c r="D23" s="256"/>
      <c r="E23" s="257"/>
      <c r="G23" s="218">
        <f>C21-12</f>
        <v>37.07100883500631</v>
      </c>
      <c r="H23" s="218">
        <f>C21-25</f>
        <v>24.07100883500631</v>
      </c>
      <c r="K23" s="11"/>
    </row>
    <row r="24" spans="1:11" x14ac:dyDescent="0.55000000000000004">
      <c r="A24" s="251" t="str">
        <f>IF(C24="CBR too low","STOP",IF(C5="E","Geosystems Product Depth (in)",IF(C5="M","Geosystems Product Depth (mm)","")))</f>
        <v>Geosystems Product Depth (mm)</v>
      </c>
      <c r="B24" s="252"/>
      <c r="C24" s="219">
        <f>IF(C16&lt;2,"CBR too low",IF(C5="E",2,50))</f>
        <v>50</v>
      </c>
      <c r="D24" s="253" t="str">
        <f>IF(C16&lt;2,"Contact Presto for further evaluation, Ph: 800-548-3424","See Note 2")</f>
        <v>See Note 2</v>
      </c>
      <c r="E24" s="254"/>
      <c r="G24" s="218">
        <f>ROUNDUP(G23,0)</f>
        <v>38</v>
      </c>
      <c r="H24" s="218">
        <f>ROUNDUP(H23,0)</f>
        <v>25</v>
      </c>
      <c r="K24" s="11"/>
    </row>
    <row r="25" spans="1:11" x14ac:dyDescent="0.55000000000000004">
      <c r="A25" s="251" t="str">
        <f>IF(C24="CBR too low","",IF(C5="E","Recommended Base Depth (in)",IF(C5="M","Recommended Base Depth (mm)","")))</f>
        <v>Recommended Base Depth (mm)</v>
      </c>
      <c r="B25" s="252"/>
      <c r="C25" s="219">
        <f>IF(A25="","",IF(C5="E",G25,H25))</f>
        <v>25</v>
      </c>
      <c r="D25" s="250" t="str">
        <f>IF(C25="","",IF(C5="E",G26,H26))</f>
        <v>Crushed Aggregate Base</v>
      </c>
      <c r="E25" s="250"/>
      <c r="G25" s="218">
        <f>IF(G24&lt;0,0,G24)</f>
        <v>38</v>
      </c>
      <c r="H25">
        <f>IF(H24&lt;0,0,H24)</f>
        <v>25</v>
      </c>
      <c r="K25" s="11"/>
    </row>
    <row r="26" spans="1:11" ht="15" customHeight="1" x14ac:dyDescent="0.55000000000000004">
      <c r="A26" s="251" t="str">
        <f>IF(A25="","","Required Accessories")</f>
        <v>Required Accessories</v>
      </c>
      <c r="B26" s="252"/>
      <c r="C26" s="265" t="str">
        <f>IF(A26="","",IF(C6="Geoterra",G39,G40))</f>
        <v>PadLoc Connection Devices (6 per panel), Lifting Lever, and Torsion Tool</v>
      </c>
      <c r="D26" s="266"/>
      <c r="E26" s="267"/>
      <c r="G26" t="str">
        <f>IF(G23&lt;0,"No Additional Base Required","Crushed Aggregate Base")</f>
        <v>Crushed Aggregate Base</v>
      </c>
      <c r="H26" t="str">
        <f>IF(H23&lt;0,"No Additional Base Required","Crushed Aggregate Base")</f>
        <v>Crushed Aggregate Base</v>
      </c>
      <c r="J26" s="133"/>
      <c r="K26" s="11"/>
    </row>
    <row r="27" spans="1:11" ht="15" customHeight="1" x14ac:dyDescent="0.55000000000000004">
      <c r="A27" s="249" t="str">
        <f>IF(A25="","",IF(C17="&gt;10","Anchors Are Required",""))</f>
        <v/>
      </c>
      <c r="B27" s="252"/>
      <c r="C27" s="262" t="str">
        <f>IF(A27="","","Contact Presto for number and spacing, Ph: 800-548-3424")</f>
        <v/>
      </c>
      <c r="D27" s="263"/>
      <c r="E27" s="264"/>
      <c r="G27" s="133"/>
      <c r="H27" s="133"/>
      <c r="I27" s="133"/>
      <c r="J27" s="133"/>
      <c r="K27" s="11"/>
    </row>
    <row r="28" spans="1:11" s="133" customFormat="1" ht="15" customHeight="1" x14ac:dyDescent="0.55000000000000004">
      <c r="A28" s="206"/>
      <c r="B28" s="206"/>
      <c r="C28" s="207"/>
      <c r="D28" s="206"/>
      <c r="E28" s="206"/>
      <c r="G28" s="134"/>
      <c r="H28" s="134"/>
      <c r="I28" s="134"/>
      <c r="J28" s="134"/>
      <c r="K28" s="134"/>
    </row>
    <row r="29" spans="1:11" s="133" customFormat="1" ht="20.100000000000001" customHeight="1" x14ac:dyDescent="0.45">
      <c r="A29" s="10" t="s">
        <v>22</v>
      </c>
      <c r="B29" s="6"/>
      <c r="C29" s="6"/>
      <c r="D29" s="6"/>
      <c r="E29" s="6"/>
      <c r="G29" s="134"/>
      <c r="H29" s="134"/>
      <c r="I29" s="134"/>
      <c r="J29" s="134"/>
      <c r="K29" s="134"/>
    </row>
    <row r="30" spans="1:11" s="133" customFormat="1" ht="24.6" customHeight="1" x14ac:dyDescent="0.55000000000000004">
      <c r="A30" s="258" t="str">
        <f>G35</f>
        <v>1. If the CBR &lt; 3% or has a high silt content (&gt; 15%) and low plasticity (PI &lt; 5%), an enhanced woven geotextile is recommended. Contact Presto for more details (Ph: 800-548-3424).</v>
      </c>
      <c r="B30" s="258"/>
      <c r="C30" s="258"/>
      <c r="D30" s="258"/>
      <c r="E30" s="258"/>
      <c r="G30" s="134"/>
      <c r="H30" s="134"/>
      <c r="I30" s="134"/>
      <c r="J30" s="134"/>
      <c r="K30" s="134"/>
    </row>
    <row r="31" spans="1:11" ht="18" customHeight="1" x14ac:dyDescent="0.55000000000000004">
      <c r="A31" s="258" t="str">
        <f>CONCATENATE(G36,C6,G37, " ")</f>
        <v xml:space="preserve">2. Refer to the GeoTerra Application and Installation Guide for a complete description of the design and construction methods. </v>
      </c>
      <c r="B31" s="258"/>
      <c r="C31" s="258"/>
      <c r="D31" s="258"/>
      <c r="E31" s="258"/>
      <c r="G31" s="11"/>
      <c r="H31" s="11"/>
      <c r="I31" s="11"/>
      <c r="J31" s="11"/>
      <c r="K31" s="11"/>
    </row>
    <row r="32" spans="1:11" ht="14.4" customHeight="1" x14ac:dyDescent="0.55000000000000004">
      <c r="A32" s="261" t="str">
        <f>IF(C6="Geoterra",HYPERLINK("https://www.prestogeo.com/wp-content/uploads/2016/10/GT-GEOTERRA-Specification-and-Installation-Guideline-eng.pdf"),IF(C6="Geoterra GTO",HYPERLINK("https://www.prestogeo.com/wp-content/uploads/2016/10/GTO-GEOTERRA-GTO-Specification-Installation-Guideline-eng.pdf")))</f>
        <v>https://www.prestogeo.com/wp-content/uploads/2016/10/GT-GEOTERRA-Specification-and-Installation-Guideline-eng.pdf</v>
      </c>
      <c r="B32" s="261"/>
      <c r="C32" s="261"/>
      <c r="D32" s="261"/>
      <c r="E32" s="261"/>
      <c r="G32" s="11"/>
      <c r="H32" s="11"/>
      <c r="I32" s="11"/>
      <c r="J32" s="11"/>
      <c r="K32" s="11"/>
    </row>
    <row r="33" spans="1:15" ht="15" customHeight="1" x14ac:dyDescent="0.55000000000000004">
      <c r="A33" s="258" t="str">
        <f>CONCATENATE(G50,CHAR(10),G43,CHAR(10),CHAR(10),IF(C25&gt;0,G44,""),CHAR(10),CHAR(10),IF(AND(C8="Non-woven",C18="Clay"),G45,""))</f>
        <v>3. Material Descriptions
A. The units can be driven on empty.  The units can be filled (sand or aggregate) to control expansion due to temperature variations.
B. Crushed aggregate base shall be 0.375 to 1.0 (10 to 25 mm).  Engineer of record shall design base stability.
4. If the clay has a high silt content (&gt; 15%), an enhanced woven geotextile may be required. Contact Presto for more details (Ph: 800-548-3424).</v>
      </c>
      <c r="B33" s="258"/>
      <c r="C33" s="258"/>
      <c r="D33" s="258"/>
      <c r="E33" s="258"/>
      <c r="G33" s="11"/>
      <c r="H33" s="11"/>
      <c r="I33" s="11"/>
      <c r="J33" s="11"/>
      <c r="K33" s="11"/>
    </row>
    <row r="34" spans="1:15" s="4" customFormat="1" ht="14.4" customHeight="1" x14ac:dyDescent="0.55000000000000004">
      <c r="A34" s="258"/>
      <c r="B34" s="258"/>
      <c r="C34" s="258"/>
      <c r="D34" s="258"/>
      <c r="E34" s="258"/>
      <c r="G34" s="201"/>
      <c r="I34" s="202"/>
      <c r="K34" s="202"/>
      <c r="M34" s="202"/>
    </row>
    <row r="35" spans="1:15" x14ac:dyDescent="0.55000000000000004">
      <c r="A35" s="258"/>
      <c r="B35" s="258"/>
      <c r="C35" s="258"/>
      <c r="D35" s="258"/>
      <c r="E35" s="258"/>
      <c r="G35" t="s">
        <v>174</v>
      </c>
    </row>
    <row r="36" spans="1:15" ht="14.4" customHeight="1" x14ac:dyDescent="0.55000000000000004">
      <c r="A36" s="258"/>
      <c r="B36" s="258"/>
      <c r="C36" s="258"/>
      <c r="D36" s="258"/>
      <c r="E36" s="258"/>
      <c r="G36" s="132" t="s">
        <v>166</v>
      </c>
    </row>
    <row r="37" spans="1:15" x14ac:dyDescent="0.55000000000000004">
      <c r="A37" s="258"/>
      <c r="B37" s="258"/>
      <c r="C37" s="258"/>
      <c r="D37" s="258"/>
      <c r="E37" s="258"/>
      <c r="G37" s="132" t="s">
        <v>137</v>
      </c>
    </row>
    <row r="38" spans="1:15" ht="14.4" customHeight="1" x14ac:dyDescent="0.55000000000000004">
      <c r="A38" s="220"/>
      <c r="B38" s="220"/>
      <c r="C38" s="220"/>
      <c r="D38" s="220"/>
      <c r="E38" s="220"/>
    </row>
    <row r="39" spans="1:15" ht="20.25" customHeight="1" x14ac:dyDescent="0.55000000000000004">
      <c r="A39" s="220"/>
      <c r="B39" s="220"/>
      <c r="C39" s="220"/>
      <c r="D39" s="220"/>
      <c r="E39" s="220"/>
      <c r="G39" t="s">
        <v>173</v>
      </c>
    </row>
    <row r="40" spans="1:15" ht="22.5" customHeight="1" x14ac:dyDescent="0.55000000000000004">
      <c r="A40" s="6"/>
      <c r="B40" s="6"/>
      <c r="C40" s="6"/>
      <c r="D40" s="6"/>
      <c r="E40" s="6"/>
      <c r="G40" t="s">
        <v>172</v>
      </c>
    </row>
    <row r="41" spans="1:15" x14ac:dyDescent="0.55000000000000004">
      <c r="F41" s="197"/>
      <c r="G41" s="197"/>
    </row>
    <row r="42" spans="1:15" x14ac:dyDescent="0.55000000000000004">
      <c r="E42" s="197"/>
      <c r="F42" s="197"/>
      <c r="G42" s="197"/>
    </row>
    <row r="43" spans="1:15" x14ac:dyDescent="0.55000000000000004">
      <c r="E43" s="197"/>
      <c r="F43" s="197"/>
      <c r="G43" s="197" t="s">
        <v>178</v>
      </c>
      <c r="M43" s="7"/>
      <c r="O43" s="7"/>
    </row>
    <row r="44" spans="1:15" x14ac:dyDescent="0.55000000000000004">
      <c r="E44" s="197"/>
      <c r="F44" s="197"/>
      <c r="G44" s="197" t="s">
        <v>176</v>
      </c>
      <c r="M44" s="7"/>
      <c r="O44" s="7"/>
    </row>
    <row r="45" spans="1:15" x14ac:dyDescent="0.55000000000000004">
      <c r="E45" s="215"/>
      <c r="G45" s="197" t="s">
        <v>175</v>
      </c>
    </row>
    <row r="46" spans="1:15" x14ac:dyDescent="0.55000000000000004">
      <c r="E46" s="213">
        <f>IF(C25="Not Recommended","",IF(C20="Aggregate","",IF(C5="E",0.3,10)))</f>
        <v>10</v>
      </c>
      <c r="F46" s="197"/>
      <c r="G46" s="197"/>
    </row>
    <row r="47" spans="1:15" x14ac:dyDescent="0.55000000000000004">
      <c r="E47" s="214" t="str">
        <f>IF(C25="Not Recommended","",IF(AND(C6="Geoweb",C5="E",C20="Vegetated"),0.5,IF(AND(C6="Geoweb",C5="E",C20="Aggregate"),2,IF(AND(C6="Geoweb",C5="M",C20="Vegetated"),10,IF(AND(C6="Geoweb",C5="E",C20="Aggregate"),50,"")))))</f>
        <v/>
      </c>
      <c r="G47" s="197"/>
    </row>
    <row r="48" spans="1:15" x14ac:dyDescent="0.55000000000000004">
      <c r="E48" s="213">
        <f>IF(C25="Not Recommended","",IF(AND(C6="Geoweb",C22&gt;C24),C22,C24))</f>
        <v>50</v>
      </c>
      <c r="G48" s="197"/>
    </row>
    <row r="49" spans="1:17" x14ac:dyDescent="0.55000000000000004">
      <c r="E49" s="213">
        <f>ROUND(C25,1)</f>
        <v>25</v>
      </c>
      <c r="G49" s="197"/>
    </row>
    <row r="50" spans="1:17" x14ac:dyDescent="0.55000000000000004">
      <c r="E50" s="213">
        <f>IF(C25="Not Recommended","",IF(C5="E",0.1,3))</f>
        <v>3</v>
      </c>
      <c r="G50" s="216" t="s">
        <v>168</v>
      </c>
    </row>
    <row r="51" spans="1:17" x14ac:dyDescent="0.55000000000000004">
      <c r="E51" s="213">
        <f>IF(C25="Not Recommended","",IF(E49&gt;0,E49/2,IF(C5="E",2,50)))</f>
        <v>12.5</v>
      </c>
      <c r="G51" s="197"/>
      <c r="I51" t="s">
        <v>150</v>
      </c>
      <c r="J51" t="str">
        <f>CONCATENATE(C6," ",I51)</f>
        <v>GeoTerra Construction Mat</v>
      </c>
      <c r="N51" s="2"/>
      <c r="O51" s="2"/>
    </row>
    <row r="52" spans="1:17" x14ac:dyDescent="0.55000000000000004">
      <c r="E52" s="215"/>
      <c r="G52" s="197" t="str">
        <f>CONCATENATE(C6, " ")</f>
        <v xml:space="preserve">GeoTerra </v>
      </c>
      <c r="H52" t="str">
        <f>IF(C24=3,3,IF(C24=4,4,IF(C24=6,6,IF(C24=8,8,IF(C24=75,3,IF(C24=100,4,IF(C24=150,6,IF(C24=200,8,""))))))))</f>
        <v/>
      </c>
      <c r="I52" t="str">
        <f>IF(C6="Geoweb"," (Note 3B)","(Note 3A)")</f>
        <v>(Note 3A)</v>
      </c>
      <c r="J52" t="str">
        <f>IF(E48="","",CONCATENATE(G52,H52,I52,", ",E48," ",IF(C5="E","in","mm")))</f>
        <v>GeoTerra (Note 3A), 50 mm</v>
      </c>
      <c r="N52" s="2"/>
    </row>
    <row r="53" spans="1:17" x14ac:dyDescent="0.55000000000000004">
      <c r="E53" s="215"/>
      <c r="F53" s="209"/>
      <c r="G53" s="197" t="str">
        <f>IF(C20="Vegetated","Engineered Base","Open Graded Base")</f>
        <v>Open Graded Base</v>
      </c>
      <c r="I53" t="str">
        <f>IF(C6="Geoweb"," (Note 3C)"," (Note 3B)")</f>
        <v xml:space="preserve"> (Note 3B)</v>
      </c>
      <c r="J53" t="str">
        <f>IF(OR(G25=0,E49=""),"",CONCATENATE(G53,I53,", ",E49," ",IF(C5="E","in","mm")))</f>
        <v>Open Graded Base (Note 3B), 25 mm</v>
      </c>
      <c r="N53" s="2"/>
      <c r="P53" s="9"/>
      <c r="Q53" s="5"/>
    </row>
    <row r="54" spans="1:17" x14ac:dyDescent="0.55000000000000004">
      <c r="E54" s="215"/>
      <c r="F54" s="209"/>
      <c r="G54" s="197" t="s">
        <v>53</v>
      </c>
      <c r="J54" t="str">
        <f>IF(E50="","",CONCATENATE(C8," ",G54))</f>
        <v>Non-woven Geotextile</v>
      </c>
      <c r="N54" s="2"/>
      <c r="P54" s="9"/>
      <c r="Q54" s="5"/>
    </row>
    <row r="55" spans="1:17" x14ac:dyDescent="0.55000000000000004">
      <c r="E55" s="215"/>
      <c r="F55" s="197"/>
      <c r="G55" s="197" t="s">
        <v>27</v>
      </c>
      <c r="J55" t="str">
        <f>IF(E51="","",CONCATENATE(G55,", ","CBR"," = ",C16,"%"))</f>
        <v>Prepared Sub Grade, CBR = 2%</v>
      </c>
      <c r="N55" s="2"/>
      <c r="P55" s="9"/>
      <c r="Q55" s="5"/>
    </row>
    <row r="56" spans="1:17" x14ac:dyDescent="0.55000000000000004">
      <c r="E56" s="197"/>
      <c r="F56" s="197"/>
      <c r="G56" s="197"/>
      <c r="O56" s="8"/>
      <c r="P56" s="9"/>
      <c r="Q56" s="5"/>
    </row>
    <row r="57" spans="1:17" x14ac:dyDescent="0.55000000000000004">
      <c r="B57" s="210"/>
      <c r="C57" s="208"/>
      <c r="E57" s="197"/>
      <c r="F57" s="197"/>
      <c r="G57" s="197"/>
      <c r="O57" s="8"/>
      <c r="P57" s="9"/>
      <c r="Q57" s="5"/>
    </row>
    <row r="58" spans="1:17" x14ac:dyDescent="0.55000000000000004">
      <c r="A58" s="240" t="s">
        <v>139</v>
      </c>
      <c r="B58" s="240"/>
      <c r="C58" s="240"/>
      <c r="D58" s="240"/>
      <c r="E58" s="240"/>
      <c r="F58" s="197"/>
      <c r="G58" s="197"/>
      <c r="O58" s="5"/>
      <c r="P58" s="5"/>
    </row>
    <row r="59" spans="1:17" x14ac:dyDescent="0.55000000000000004">
      <c r="A59" s="240"/>
      <c r="B59" s="240"/>
      <c r="C59" s="240"/>
      <c r="D59" s="240"/>
      <c r="E59" s="240"/>
      <c r="F59" s="197"/>
      <c r="G59" s="197"/>
    </row>
    <row r="60" spans="1:17" x14ac:dyDescent="0.55000000000000004">
      <c r="E60" s="197"/>
      <c r="F60" s="197"/>
      <c r="G60" s="197"/>
    </row>
    <row r="61" spans="1:17" x14ac:dyDescent="0.55000000000000004">
      <c r="E61" s="197"/>
      <c r="F61" s="197"/>
      <c r="G61" s="197"/>
    </row>
    <row r="62" spans="1:17" x14ac:dyDescent="0.55000000000000004">
      <c r="E62" s="197"/>
      <c r="F62" s="197"/>
      <c r="G62" s="197"/>
    </row>
    <row r="63" spans="1:17" x14ac:dyDescent="0.55000000000000004">
      <c r="E63" s="197"/>
      <c r="F63" s="197"/>
      <c r="G63" s="197"/>
    </row>
    <row r="64" spans="1:17" x14ac:dyDescent="0.55000000000000004">
      <c r="E64" s="197"/>
      <c r="F64" s="197"/>
      <c r="G64" s="197"/>
    </row>
    <row r="65" spans="5:7" x14ac:dyDescent="0.55000000000000004">
      <c r="E65" s="197"/>
      <c r="F65" s="197"/>
      <c r="G65" s="197"/>
    </row>
    <row r="66" spans="5:7" x14ac:dyDescent="0.55000000000000004">
      <c r="E66" s="197"/>
      <c r="F66" s="197"/>
      <c r="G66" s="197"/>
    </row>
    <row r="67" spans="5:7" x14ac:dyDescent="0.55000000000000004">
      <c r="G67" s="197"/>
    </row>
    <row r="68" spans="5:7" x14ac:dyDescent="0.55000000000000004">
      <c r="G68" s="197"/>
    </row>
    <row r="69" spans="5:7" x14ac:dyDescent="0.55000000000000004">
      <c r="G69" s="197"/>
    </row>
  </sheetData>
  <sheetProtection sheet="1" selectLockedCells="1"/>
  <dataConsolidate/>
  <mergeCells count="45">
    <mergeCell ref="B2:D3"/>
    <mergeCell ref="D6:E6"/>
    <mergeCell ref="A20:B20"/>
    <mergeCell ref="A6:B6"/>
    <mergeCell ref="A25:B25"/>
    <mergeCell ref="A14:B14"/>
    <mergeCell ref="D22:E22"/>
    <mergeCell ref="A19:B19"/>
    <mergeCell ref="D19:E19"/>
    <mergeCell ref="A8:B8"/>
    <mergeCell ref="A11:B11"/>
    <mergeCell ref="D9:E10"/>
    <mergeCell ref="A9:B10"/>
    <mergeCell ref="A12:B12"/>
    <mergeCell ref="C9:C10"/>
    <mergeCell ref="C11:E11"/>
    <mergeCell ref="A32:E32"/>
    <mergeCell ref="A13:B13"/>
    <mergeCell ref="A18:B18"/>
    <mergeCell ref="A31:E31"/>
    <mergeCell ref="A26:B26"/>
    <mergeCell ref="A30:E30"/>
    <mergeCell ref="C27:E27"/>
    <mergeCell ref="C26:E26"/>
    <mergeCell ref="D18:E18"/>
    <mergeCell ref="A17:B17"/>
    <mergeCell ref="A15:B15"/>
    <mergeCell ref="A16:B16"/>
    <mergeCell ref="C15:E15"/>
    <mergeCell ref="A58:E59"/>
    <mergeCell ref="A2:A3"/>
    <mergeCell ref="B1:E1"/>
    <mergeCell ref="A5:B5"/>
    <mergeCell ref="A4:E4"/>
    <mergeCell ref="D5:E5"/>
    <mergeCell ref="D25:E25"/>
    <mergeCell ref="D21:E21"/>
    <mergeCell ref="A22:B22"/>
    <mergeCell ref="A24:B24"/>
    <mergeCell ref="D24:E24"/>
    <mergeCell ref="A23:E23"/>
    <mergeCell ref="D17:E17"/>
    <mergeCell ref="A27:B27"/>
    <mergeCell ref="A33:E37"/>
    <mergeCell ref="A7:B7"/>
  </mergeCells>
  <conditionalFormatting sqref="C22">
    <cfRule type="expression" dxfId="17" priority="2">
      <formula>$A$22=""</formula>
    </cfRule>
    <cfRule type="expression" dxfId="16" priority="4">
      <formula>AND($C$5="E",$C$22&lt;20)</formula>
    </cfRule>
    <cfRule type="expression" dxfId="15" priority="5">
      <formula>AND($C$5="M",$C$22&lt;40)</formula>
    </cfRule>
    <cfRule type="expression" dxfId="14" priority="7">
      <formula>$C$22=""</formula>
    </cfRule>
    <cfRule type="expression" dxfId="13" priority="8">
      <formula>AND($C$5="E",$C$22&gt;20)</formula>
    </cfRule>
    <cfRule type="expression" dxfId="12" priority="10">
      <formula>AND($C$5="M",$C$22&lt;40)</formula>
    </cfRule>
  </conditionalFormatting>
  <conditionalFormatting sqref="D24">
    <cfRule type="containsText" dxfId="11" priority="11" operator="containsText" text="Presto">
      <formula>NOT(ISERROR(SEARCH("Presto",D24)))</formula>
    </cfRule>
  </conditionalFormatting>
  <conditionalFormatting sqref="D22:E22">
    <cfRule type="expression" dxfId="10" priority="9">
      <formula>$D$22="Delete this value"</formula>
    </cfRule>
  </conditionalFormatting>
  <conditionalFormatting sqref="C21">
    <cfRule type="expression" dxfId="9" priority="31">
      <formula>$C$21=""</formula>
    </cfRule>
    <cfRule type="expression" dxfId="8" priority="32">
      <formula>#REF!=""</formula>
    </cfRule>
  </conditionalFormatting>
  <conditionalFormatting sqref="C6">
    <cfRule type="expression" dxfId="7" priority="36">
      <formula>(AND($C$20="Vegetated",$C$6="Geopave"))</formula>
    </cfRule>
    <cfRule type="expression" dxfId="6" priority="37">
      <formula>(AND($C$20="Aggregate",$C$6="Geoblock"))</formula>
    </cfRule>
    <cfRule type="expression" dxfId="5" priority="38">
      <formula>(AND($C$20="Aggregate",$C$6="Geoblock5150"))</formula>
    </cfRule>
  </conditionalFormatting>
  <conditionalFormatting sqref="C27:E27">
    <cfRule type="containsText" dxfId="4" priority="1" operator="containsText" text="Presto">
      <formula>NOT(ISERROR(SEARCH("Presto",C27)))</formula>
    </cfRule>
  </conditionalFormatting>
  <hyperlinks>
    <hyperlink ref="D16" location="'CBR Correlations'!A1" display="CBR Correlation Descriptions"/>
    <hyperlink ref="D7" location="'Research Information'!A1" display="Basic Research Information"/>
  </hyperlinks>
  <pageMargins left="0.7" right="0.7" top="0.75" bottom="0.75" header="0.3" footer="0.3"/>
  <pageSetup scale="70" orientation="portrait" r:id="rId1"/>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IF($C$5="E",Data!$T$5:$T$6,Data!$U$5:$U$6)</xm:f>
          </x14:formula1>
          <xm:sqref>C22</xm:sqref>
        </x14:dataValidation>
        <x14:dataValidation type="list" allowBlank="1" showInputMessage="1" showErrorMessage="1">
          <x14:formula1>
            <xm:f>Data!$N$3:$N$6</xm:f>
          </x14:formula1>
          <xm:sqref>C9</xm:sqref>
        </x14:dataValidation>
        <x14:dataValidation type="list" allowBlank="1" showInputMessage="1" showErrorMessage="1">
          <x14:formula1>
            <xm:f>Data!$M$3:$M$4</xm:f>
          </x14:formula1>
          <xm:sqref>C5</xm:sqref>
        </x14:dataValidation>
        <x14:dataValidation type="list" allowBlank="1" showInputMessage="1" showErrorMessage="1">
          <x14:formula1>
            <xm:f>Data!$P$3:$P$4</xm:f>
          </x14:formula1>
          <xm:sqref>C18</xm:sqref>
        </x14:dataValidation>
        <x14:dataValidation type="list" allowBlank="1" showInputMessage="1" showErrorMessage="1">
          <x14:formula1>
            <xm:f>Data!$R$3:$R$6</xm:f>
          </x14:formula1>
          <xm:sqref>C17</xm:sqref>
        </x14:dataValidation>
        <x14:dataValidation type="list" allowBlank="1" showInputMessage="1" showErrorMessage="1">
          <x14:formula1>
            <xm:f>Data!$S$3:$S$4</xm:f>
          </x14:formula1>
          <xm:sqref>C6</xm:sqref>
        </x14:dataValidation>
        <x14:dataValidation type="list" allowBlank="1" showInputMessage="1" showErrorMessage="1">
          <x14:formula1>
            <xm:f>Data!$U$3:$U$4</xm:f>
          </x14:formula1>
          <xm:sqref>C8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1:C33"/>
  <sheetViews>
    <sheetView workbookViewId="0"/>
  </sheetViews>
  <sheetFormatPr defaultRowHeight="14.4" x14ac:dyDescent="0.55000000000000004"/>
  <sheetData>
    <row r="31" spans="2:3" x14ac:dyDescent="0.55000000000000004">
      <c r="B31" s="3"/>
      <c r="C31" s="3"/>
    </row>
    <row r="32" spans="2:3" ht="20.100000000000001" hidden="1" x14ac:dyDescent="0.7">
      <c r="B32" s="212" t="str">
        <f>CONCATENATE("Imperial: ",'Construction Mat'!C6," Correlation Chart")</f>
        <v>Imperial: GeoTerra Correlation Chart</v>
      </c>
    </row>
    <row r="33" spans="2:2" ht="20.100000000000001" hidden="1" x14ac:dyDescent="0.7">
      <c r="B33" s="212" t="str">
        <f>CONCATENATE("Metric: ",'Construction Mat'!C6," Correlation Chart")</f>
        <v>Metric: GeoTerra Correlation Chart</v>
      </c>
    </row>
  </sheetData>
  <sheetProtection sheet="1" objects="1" scenarios="1"/>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workbookViewId="0">
      <selection activeCell="M7" sqref="M7"/>
    </sheetView>
  </sheetViews>
  <sheetFormatPr defaultRowHeight="14.4" x14ac:dyDescent="0.55000000000000004"/>
  <sheetData>
    <row r="1" spans="1:10" x14ac:dyDescent="0.55000000000000004">
      <c r="A1" s="278" t="s">
        <v>162</v>
      </c>
      <c r="B1" s="278"/>
      <c r="C1" s="278"/>
      <c r="D1" s="278"/>
      <c r="E1" s="278"/>
      <c r="F1" s="278"/>
      <c r="G1" s="278"/>
      <c r="H1" s="278"/>
      <c r="I1" s="278"/>
      <c r="J1" s="278"/>
    </row>
    <row r="2" spans="1:10" x14ac:dyDescent="0.55000000000000004">
      <c r="A2" s="278"/>
      <c r="B2" s="278"/>
      <c r="C2" s="278"/>
      <c r="D2" s="278"/>
      <c r="E2" s="278"/>
      <c r="F2" s="278"/>
      <c r="G2" s="278"/>
      <c r="H2" s="278"/>
      <c r="I2" s="278"/>
      <c r="J2" s="278"/>
    </row>
    <row r="4" spans="1:10" ht="18.3" x14ac:dyDescent="0.7">
      <c r="A4" s="221" t="s">
        <v>154</v>
      </c>
    </row>
    <row r="5" spans="1:10" ht="15" customHeight="1" x14ac:dyDescent="0.55000000000000004">
      <c r="A5" s="279" t="s">
        <v>152</v>
      </c>
      <c r="B5" s="279"/>
      <c r="C5" s="279"/>
      <c r="D5" s="279"/>
      <c r="E5" s="279"/>
      <c r="F5" s="279"/>
      <c r="G5" s="279"/>
      <c r="H5" s="279"/>
      <c r="I5" s="279"/>
      <c r="J5" s="279"/>
    </row>
    <row r="6" spans="1:10" x14ac:dyDescent="0.55000000000000004">
      <c r="A6" s="279"/>
      <c r="B6" s="279"/>
      <c r="C6" s="279"/>
      <c r="D6" s="279"/>
      <c r="E6" s="279"/>
      <c r="F6" s="279"/>
      <c r="G6" s="279"/>
      <c r="H6" s="279"/>
      <c r="I6" s="279"/>
      <c r="J6" s="279"/>
    </row>
    <row r="7" spans="1:10" x14ac:dyDescent="0.55000000000000004">
      <c r="A7" s="279"/>
      <c r="B7" s="279"/>
      <c r="C7" s="279"/>
      <c r="D7" s="279"/>
      <c r="E7" s="279"/>
      <c r="F7" s="279"/>
      <c r="G7" s="279"/>
      <c r="H7" s="279"/>
      <c r="I7" s="279"/>
      <c r="J7" s="279"/>
    </row>
    <row r="8" spans="1:10" x14ac:dyDescent="0.55000000000000004">
      <c r="A8" s="279"/>
      <c r="B8" s="279"/>
      <c r="C8" s="279"/>
      <c r="D8" s="279"/>
      <c r="E8" s="279"/>
      <c r="F8" s="279"/>
      <c r="G8" s="279"/>
      <c r="H8" s="279"/>
      <c r="I8" s="279"/>
      <c r="J8" s="279"/>
    </row>
    <row r="9" spans="1:10" x14ac:dyDescent="0.55000000000000004">
      <c r="A9" s="279"/>
      <c r="B9" s="279"/>
      <c r="C9" s="279"/>
      <c r="D9" s="279"/>
      <c r="E9" s="279"/>
      <c r="F9" s="279"/>
      <c r="G9" s="279"/>
      <c r="H9" s="279"/>
      <c r="I9" s="279"/>
      <c r="J9" s="279"/>
    </row>
    <row r="10" spans="1:10" x14ac:dyDescent="0.55000000000000004">
      <c r="A10" s="210"/>
      <c r="B10" s="279" t="s">
        <v>155</v>
      </c>
      <c r="C10" s="279"/>
      <c r="D10" s="279"/>
      <c r="E10" s="279"/>
      <c r="F10" s="279"/>
      <c r="G10" s="279"/>
      <c r="H10" s="279"/>
      <c r="I10" s="279"/>
      <c r="J10" s="279"/>
    </row>
    <row r="11" spans="1:10" x14ac:dyDescent="0.55000000000000004">
      <c r="B11" s="280" t="s">
        <v>156</v>
      </c>
      <c r="C11" s="280"/>
      <c r="D11" s="280"/>
      <c r="E11" s="280"/>
      <c r="F11" s="280"/>
      <c r="G11" s="280"/>
      <c r="H11" s="280"/>
      <c r="I11" s="280"/>
      <c r="J11" s="280"/>
    </row>
    <row r="12" spans="1:10" x14ac:dyDescent="0.55000000000000004">
      <c r="B12" s="280" t="s">
        <v>157</v>
      </c>
      <c r="C12" s="280"/>
      <c r="D12" s="280"/>
      <c r="E12" s="280"/>
      <c r="F12" s="280"/>
      <c r="G12" s="280"/>
      <c r="H12" s="280"/>
      <c r="I12" s="280"/>
      <c r="J12" s="280"/>
    </row>
    <row r="15" spans="1:10" ht="18.3" x14ac:dyDescent="0.7">
      <c r="A15" s="221" t="s">
        <v>158</v>
      </c>
    </row>
    <row r="16" spans="1:10" ht="15" customHeight="1" x14ac:dyDescent="0.55000000000000004">
      <c r="A16" s="279" t="s">
        <v>153</v>
      </c>
      <c r="B16" s="279"/>
      <c r="C16" s="279"/>
      <c r="D16" s="279"/>
      <c r="E16" s="279"/>
      <c r="F16" s="279"/>
      <c r="G16" s="279"/>
      <c r="H16" s="279"/>
      <c r="I16" s="279"/>
      <c r="J16" s="279"/>
    </row>
    <row r="17" spans="1:10" x14ac:dyDescent="0.55000000000000004">
      <c r="A17" s="279"/>
      <c r="B17" s="279"/>
      <c r="C17" s="279"/>
      <c r="D17" s="279"/>
      <c r="E17" s="279"/>
      <c r="F17" s="279"/>
      <c r="G17" s="279"/>
      <c r="H17" s="279"/>
      <c r="I17" s="279"/>
      <c r="J17" s="279"/>
    </row>
    <row r="18" spans="1:10" ht="15" customHeight="1" x14ac:dyDescent="0.55000000000000004">
      <c r="A18" s="210"/>
      <c r="B18" s="279" t="s">
        <v>159</v>
      </c>
      <c r="C18" s="279"/>
      <c r="D18" s="279"/>
      <c r="E18" s="279"/>
      <c r="F18" s="279"/>
      <c r="G18" s="279"/>
      <c r="H18" s="279"/>
      <c r="I18" s="279"/>
      <c r="J18" s="279"/>
    </row>
    <row r="19" spans="1:10" x14ac:dyDescent="0.55000000000000004">
      <c r="B19" s="279"/>
      <c r="C19" s="279"/>
      <c r="D19" s="279"/>
      <c r="E19" s="279"/>
      <c r="F19" s="279"/>
      <c r="G19" s="279"/>
      <c r="H19" s="279"/>
      <c r="I19" s="279"/>
      <c r="J19" s="279"/>
    </row>
    <row r="20" spans="1:10" x14ac:dyDescent="0.55000000000000004">
      <c r="B20" s="279"/>
      <c r="C20" s="279"/>
      <c r="D20" s="279"/>
      <c r="E20" s="279"/>
      <c r="F20" s="279"/>
      <c r="G20" s="279"/>
      <c r="H20" s="279"/>
      <c r="I20" s="279"/>
      <c r="J20" s="279"/>
    </row>
    <row r="21" spans="1:10" ht="15" customHeight="1" x14ac:dyDescent="0.55000000000000004">
      <c r="B21" s="279" t="s">
        <v>160</v>
      </c>
      <c r="C21" s="279"/>
      <c r="D21" s="279"/>
      <c r="E21" s="279"/>
      <c r="F21" s="279"/>
      <c r="G21" s="279"/>
      <c r="H21" s="279"/>
      <c r="I21" s="279"/>
      <c r="J21" s="279"/>
    </row>
    <row r="22" spans="1:10" x14ac:dyDescent="0.55000000000000004">
      <c r="B22" s="279"/>
      <c r="C22" s="279"/>
      <c r="D22" s="279"/>
      <c r="E22" s="279"/>
      <c r="F22" s="279"/>
      <c r="G22" s="279"/>
      <c r="H22" s="279"/>
      <c r="I22" s="279"/>
      <c r="J22" s="279"/>
    </row>
    <row r="23" spans="1:10" x14ac:dyDescent="0.55000000000000004">
      <c r="B23" s="279"/>
      <c r="C23" s="279"/>
      <c r="D23" s="279"/>
      <c r="E23" s="279"/>
      <c r="F23" s="279"/>
      <c r="G23" s="279"/>
      <c r="H23" s="279"/>
      <c r="I23" s="279"/>
      <c r="J23" s="279"/>
    </row>
  </sheetData>
  <sheetProtection algorithmName="SHA-512" hashValue="ZrUTKcrbFLAEOPmsDkRzO7QCia/c1Dm3zVIbuQP+4U8vPoXabOX9JPJjDuODZyIpmIXcj8tLD1ICxJq4+iC1Sg==" saltValue="w8FmYd0QNxaVqgFtES2W/w==" spinCount="100000" sheet="1" objects="1" scenarios="1" selectLockedCells="1" selectUnlockedCells="1"/>
  <mergeCells count="8">
    <mergeCell ref="A1:J2"/>
    <mergeCell ref="A16:J17"/>
    <mergeCell ref="B18:J20"/>
    <mergeCell ref="B21:J23"/>
    <mergeCell ref="A5:J9"/>
    <mergeCell ref="B10:J10"/>
    <mergeCell ref="B11:J11"/>
    <mergeCell ref="B12:J12"/>
  </mergeCells>
  <conditionalFormatting sqref="A1:J2">
    <cfRule type="containsText" dxfId="3" priority="1" operator="containsText" text="Please contact Presto Geosystems for more information about the research performed and access to testing results and published papers.">
      <formula>NOT(ISERROR(SEARCH("Please contact Presto Geosystems for more information about the research performed and access to testing results and published papers.",A1)))</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51"/>
  <sheetViews>
    <sheetView view="pageBreakPreview" zoomScale="85" zoomScaleNormal="100" zoomScaleSheetLayoutView="85" workbookViewId="0">
      <selection activeCell="B15" sqref="B15"/>
    </sheetView>
  </sheetViews>
  <sheetFormatPr defaultColWidth="8.89453125" defaultRowHeight="12.3" x14ac:dyDescent="0.4"/>
  <cols>
    <col min="1" max="1" width="31.68359375" style="117" bestFit="1" customWidth="1"/>
    <col min="2" max="8" width="11.5234375" style="114" customWidth="1"/>
    <col min="9" max="9" width="12.5234375" style="114" customWidth="1"/>
    <col min="10" max="10" width="12.5234375" style="13" customWidth="1"/>
    <col min="11" max="11" width="14.1015625" style="13" hidden="1" customWidth="1"/>
    <col min="12" max="12" width="9.3125" style="13" hidden="1" customWidth="1"/>
    <col min="13" max="13" width="13.3125" style="13" hidden="1" customWidth="1"/>
    <col min="14" max="14" width="6.3125" style="13" hidden="1" customWidth="1"/>
    <col min="15" max="15" width="23.68359375" style="13" hidden="1" customWidth="1"/>
    <col min="16" max="19" width="12.5234375" style="13" hidden="1" customWidth="1"/>
    <col min="20" max="21" width="12.5234375" style="13" customWidth="1"/>
    <col min="22" max="16384" width="8.89453125" style="13"/>
  </cols>
  <sheetData>
    <row r="1" spans="1:19" ht="68.25" customHeight="1" x14ac:dyDescent="0.6">
      <c r="A1" s="12"/>
      <c r="B1" s="281" t="s">
        <v>28</v>
      </c>
      <c r="C1" s="281"/>
      <c r="D1" s="281"/>
      <c r="E1" s="281"/>
      <c r="F1" s="281"/>
      <c r="G1" s="281"/>
      <c r="H1" s="281"/>
      <c r="I1" s="281"/>
    </row>
    <row r="2" spans="1:19" s="16" customFormat="1" ht="26.25" customHeight="1" x14ac:dyDescent="0.55000000000000004">
      <c r="A2" s="14" t="s">
        <v>29</v>
      </c>
      <c r="B2" s="282" t="str">
        <f>CONCATENATE('Construction Mat'!$B$2:$D$2," ",'Construction Mat'!$B$3:$D$3)</f>
        <v xml:space="preserve">PRXXXX - Name </v>
      </c>
      <c r="C2" s="282"/>
      <c r="D2" s="282"/>
      <c r="E2" s="282"/>
      <c r="F2" s="282"/>
      <c r="G2" s="282"/>
      <c r="H2" s="15" t="s">
        <v>30</v>
      </c>
      <c r="I2" s="190" t="str">
        <f>'Construction Mat'!E3</f>
        <v>TODAY</v>
      </c>
      <c r="K2" s="17" t="s">
        <v>31</v>
      </c>
      <c r="L2" s="18"/>
      <c r="M2" s="18"/>
      <c r="N2" s="18"/>
      <c r="O2" s="17" t="str">
        <f>CONCATENATE(B2,CHAR(10),K2)</f>
        <v>PRXXXX - Name 
Geoweb System Stress Reduction</v>
      </c>
      <c r="P2" s="18"/>
    </row>
    <row r="3" spans="1:19" s="19" customFormat="1" ht="16.5" customHeight="1" x14ac:dyDescent="0.4">
      <c r="A3" s="283" t="s">
        <v>32</v>
      </c>
      <c r="B3" s="285" t="s">
        <v>33</v>
      </c>
      <c r="C3" s="285" t="s">
        <v>34</v>
      </c>
      <c r="D3" s="285" t="s">
        <v>35</v>
      </c>
      <c r="E3" s="285" t="s">
        <v>36</v>
      </c>
      <c r="F3" s="287" t="s">
        <v>37</v>
      </c>
      <c r="G3" s="288"/>
      <c r="H3" s="288"/>
      <c r="I3" s="289"/>
      <c r="K3" s="20"/>
      <c r="L3" s="20"/>
      <c r="M3" s="20"/>
      <c r="N3" s="20"/>
      <c r="O3" s="20"/>
      <c r="P3" s="20"/>
    </row>
    <row r="4" spans="1:19" s="23" customFormat="1" ht="42" customHeight="1" thickBot="1" x14ac:dyDescent="0.45">
      <c r="A4" s="284"/>
      <c r="B4" s="286"/>
      <c r="C4" s="286"/>
      <c r="D4" s="286"/>
      <c r="E4" s="286"/>
      <c r="F4" s="21" t="s">
        <v>38</v>
      </c>
      <c r="G4" s="21" t="s">
        <v>39</v>
      </c>
      <c r="H4" s="21" t="s">
        <v>40</v>
      </c>
      <c r="I4" s="22" t="s">
        <v>41</v>
      </c>
      <c r="K4" s="24"/>
      <c r="L4" s="24"/>
      <c r="M4" s="24"/>
      <c r="N4" s="24"/>
      <c r="O4" s="24"/>
      <c r="P4" s="24"/>
    </row>
    <row r="5" spans="1:19" s="31" customFormat="1" ht="16.5" customHeight="1" x14ac:dyDescent="0.4">
      <c r="A5" s="25" t="s">
        <v>6</v>
      </c>
      <c r="B5" s="26"/>
      <c r="C5" s="27">
        <v>0</v>
      </c>
      <c r="D5" s="28">
        <f>(B31/(PI()*B32))^(1/2)</f>
        <v>7.7298772646121323</v>
      </c>
      <c r="E5" s="27">
        <f>B32</f>
        <v>586</v>
      </c>
      <c r="F5" s="29"/>
      <c r="G5" s="29"/>
      <c r="H5" s="29"/>
      <c r="I5" s="30"/>
      <c r="K5" s="32"/>
      <c r="L5" s="32"/>
      <c r="M5" s="32"/>
      <c r="N5" s="32"/>
      <c r="O5" s="32"/>
      <c r="P5" s="32"/>
    </row>
    <row r="6" spans="1:19" s="31" customFormat="1" ht="16.5" customHeight="1" x14ac:dyDescent="0.4">
      <c r="A6" s="33" t="s">
        <v>42</v>
      </c>
      <c r="B6" s="191">
        <v>2</v>
      </c>
      <c r="C6" s="35">
        <f>C5+B6</f>
        <v>2</v>
      </c>
      <c r="D6" s="28" t="s">
        <v>10</v>
      </c>
      <c r="E6" s="27">
        <f>(E$5*(1-(1/(1+($D$5/C6)^2))^(3/2)))</f>
        <v>576.79005418898464</v>
      </c>
      <c r="F6" s="36"/>
      <c r="G6" s="36"/>
      <c r="H6" s="37"/>
      <c r="I6" s="38"/>
      <c r="K6" s="193">
        <f>B6</f>
        <v>2</v>
      </c>
      <c r="L6" s="39" t="s">
        <v>43</v>
      </c>
      <c r="M6" s="39" t="s">
        <v>44</v>
      </c>
      <c r="N6" s="194"/>
      <c r="O6" s="32"/>
      <c r="P6" s="194" t="str">
        <f>CONCATENATE(K6,L6,M6,N6)</f>
        <v>2" Wear Surface</v>
      </c>
    </row>
    <row r="7" spans="1:19" ht="16.5" customHeight="1" x14ac:dyDescent="0.4">
      <c r="A7" s="33" t="s">
        <v>45</v>
      </c>
      <c r="B7" s="191">
        <v>8</v>
      </c>
      <c r="C7" s="28">
        <f>C6+B7</f>
        <v>10</v>
      </c>
      <c r="D7" s="28" t="s">
        <v>10</v>
      </c>
      <c r="E7" s="27">
        <f>IF(B7&lt;=0,E6,(E$5*(1-(1/(1+($D$5/C7)^2))^(3/2))))</f>
        <v>295.77673232209617</v>
      </c>
      <c r="F7" s="28">
        <f>(E6+E7)/2</f>
        <v>436.28339325554043</v>
      </c>
      <c r="G7" s="28">
        <f>F7*(TAN((45-$D$22/2)*PI()/180))^2</f>
        <v>134.05179168535324</v>
      </c>
      <c r="H7" s="28">
        <f>2*(B7/$C$19)*G7*TAN($B$34*$D$22*PI()/180)</f>
        <v>1258.3635048209323</v>
      </c>
      <c r="I7" s="40">
        <f>E7-H7</f>
        <v>-962.58677249883613</v>
      </c>
      <c r="J7" s="196"/>
      <c r="K7" s="39" t="s">
        <v>46</v>
      </c>
      <c r="L7" s="194">
        <f>'English Units'!$B$19</f>
        <v>49.07100883500631</v>
      </c>
      <c r="M7" s="194" t="s">
        <v>47</v>
      </c>
      <c r="N7" s="193">
        <f>B7</f>
        <v>8</v>
      </c>
      <c r="O7" s="194" t="str">
        <f t="shared" ref="O7:O15" si="0">CONCATENATE(K7,L7,M7,N7)</f>
        <v>Geoweb Layer 49.0710088350063V8</v>
      </c>
      <c r="P7" s="194" t="str">
        <f>IF(B7=0," ",O7)</f>
        <v>Geoweb Layer 49.0710088350063V8</v>
      </c>
      <c r="Q7" s="98"/>
      <c r="R7" s="196">
        <f>IF(B31&lt;17000,4,6)</f>
        <v>6</v>
      </c>
      <c r="S7" s="196" t="e">
        <f ca="1">IF(OR(D42&lt;0,D42&gt;2),0,B8)</f>
        <v>#VALUE!</v>
      </c>
    </row>
    <row r="8" spans="1:19" ht="16.5" customHeight="1" x14ac:dyDescent="0.4">
      <c r="A8" s="33" t="s">
        <v>8</v>
      </c>
      <c r="B8" s="191">
        <v>8</v>
      </c>
      <c r="C8" s="28">
        <f t="shared" ref="C8:C14" si="1">C7+B8</f>
        <v>18</v>
      </c>
      <c r="D8" s="28" t="s">
        <v>10</v>
      </c>
      <c r="E8" s="27">
        <f>IF(B8&lt;=0,I$7,(E$5*(1-(1/(1+($D$5/C8)^2))^(3/2)))-H$7)</f>
        <v>-1126.9754540625077</v>
      </c>
      <c r="F8" s="37"/>
      <c r="G8" s="37"/>
      <c r="H8" s="37"/>
      <c r="I8" s="38"/>
      <c r="J8" s="198"/>
      <c r="K8" s="42">
        <f>B8</f>
        <v>8</v>
      </c>
      <c r="L8" s="194" t="s">
        <v>43</v>
      </c>
      <c r="M8" s="194" t="s">
        <v>48</v>
      </c>
      <c r="N8" s="193" t="s">
        <v>49</v>
      </c>
      <c r="O8" s="194" t="str">
        <f t="shared" si="0"/>
        <v>8" Aggregate Layer</v>
      </c>
      <c r="P8" s="194" t="str">
        <f>IF(K8=0,O15,CONCATENATE(K8,L8,M8," + ",K15,L15))</f>
        <v>8" Aggregate + Non-woven Geotextile</v>
      </c>
      <c r="Q8" s="98" t="str">
        <f>IF(B9=0,P8,O8)</f>
        <v>8" Aggregate + Non-woven Geotextile</v>
      </c>
      <c r="R8" s="196">
        <f>IF('Construction Mat'!C16&gt;2.5,4,6)</f>
        <v>6</v>
      </c>
      <c r="S8" s="196" t="e">
        <f ca="1">IF(D42&gt;B37,S7,S7+1)</f>
        <v>#VALUE!</v>
      </c>
    </row>
    <row r="9" spans="1:19" ht="16.5" hidden="1" customHeight="1" x14ac:dyDescent="0.4">
      <c r="A9" s="33" t="s">
        <v>50</v>
      </c>
      <c r="B9" s="34">
        <v>0</v>
      </c>
      <c r="C9" s="28">
        <f t="shared" si="1"/>
        <v>18</v>
      </c>
      <c r="D9" s="28" t="s">
        <v>10</v>
      </c>
      <c r="E9" s="27">
        <f>IF(B9&lt;=0,E$8,(E$5*(1-(1/(1+($D$5/C9)^2))^(3/2)))-H$7)</f>
        <v>-1126.9754540625077</v>
      </c>
      <c r="F9" s="28">
        <f>(E8+E9)/2</f>
        <v>-1126.9754540625077</v>
      </c>
      <c r="G9" s="28">
        <f>F9*(TAN((45-$D$22/2)*PI()/180))^2</f>
        <v>-346.27281518828505</v>
      </c>
      <c r="H9" s="28">
        <f>2*(B9/$C$19)*G9*TAN($B$34*$D$22*PI()/180)</f>
        <v>0</v>
      </c>
      <c r="I9" s="40">
        <f>E9-H9</f>
        <v>-1126.9754540625077</v>
      </c>
      <c r="J9" s="198"/>
      <c r="K9" s="39" t="s">
        <v>46</v>
      </c>
      <c r="L9" s="194">
        <f>'English Units'!$B$19</f>
        <v>49.07100883500631</v>
      </c>
      <c r="M9" s="194" t="s">
        <v>47</v>
      </c>
      <c r="N9" s="193">
        <f>B9</f>
        <v>0</v>
      </c>
      <c r="O9" s="194" t="str">
        <f t="shared" si="0"/>
        <v>Geoweb Layer 49.0710088350063V0</v>
      </c>
      <c r="P9" s="98" t="str">
        <f>IF(B10=0,CONCATENATE(O9," + ",O15),O9)</f>
        <v>Geoweb Layer 49.0710088350063V0 + Non-woven Geotextile</v>
      </c>
      <c r="Q9" s="194" t="str">
        <f>IF(B9=0," ",P9)</f>
        <v xml:space="preserve"> </v>
      </c>
      <c r="R9" s="98"/>
      <c r="S9" s="196"/>
    </row>
    <row r="10" spans="1:19" ht="16.5" hidden="1" customHeight="1" x14ac:dyDescent="0.4">
      <c r="A10" s="33" t="s">
        <v>8</v>
      </c>
      <c r="B10" s="34">
        <v>0</v>
      </c>
      <c r="C10" s="28">
        <f t="shared" si="1"/>
        <v>18</v>
      </c>
      <c r="D10" s="28" t="s">
        <v>10</v>
      </c>
      <c r="E10" s="27">
        <f>IF(B10&lt;=0,I$9,(E$5*(1-(1/(1+($D$5/C10)^2))^(3/2)))-H$7-H$9)</f>
        <v>-1126.9754540625077</v>
      </c>
      <c r="F10" s="37"/>
      <c r="G10" s="37"/>
      <c r="H10" s="37"/>
      <c r="I10" s="38"/>
      <c r="J10" s="198"/>
      <c r="K10" s="42">
        <f>B10</f>
        <v>0</v>
      </c>
      <c r="L10" s="194" t="s">
        <v>43</v>
      </c>
      <c r="M10" s="194" t="s">
        <v>48</v>
      </c>
      <c r="N10" s="193" t="s">
        <v>49</v>
      </c>
      <c r="O10" s="194" t="str">
        <f t="shared" si="0"/>
        <v>0" Aggregate Layer</v>
      </c>
      <c r="P10" s="194" t="str">
        <f>IF(K10=0," ",IF(K10=0," ",CONCATENATE(K10,L10,M10," + ",K15,L15)))</f>
        <v xml:space="preserve"> </v>
      </c>
      <c r="Q10" s="98"/>
      <c r="R10" s="98"/>
      <c r="S10" s="196"/>
    </row>
    <row r="11" spans="1:19" ht="16.5" hidden="1" customHeight="1" x14ac:dyDescent="0.4">
      <c r="A11" s="33" t="s">
        <v>51</v>
      </c>
      <c r="B11" s="34">
        <v>0</v>
      </c>
      <c r="C11" s="28">
        <f t="shared" si="1"/>
        <v>18</v>
      </c>
      <c r="D11" s="28" t="s">
        <v>10</v>
      </c>
      <c r="E11" s="27">
        <f>IF(B11&lt;=0,E$10,(E$5*(1-(1/(1+($D$5/C11)^2))^(3/2)))-H$7-H$9)</f>
        <v>-1126.9754540625077</v>
      </c>
      <c r="F11" s="28">
        <f>(E10+E11)/2</f>
        <v>-1126.9754540625077</v>
      </c>
      <c r="G11" s="28">
        <f>F11*(TAN((45-$D$22/2)*PI()/180))^2</f>
        <v>-346.27281518828505</v>
      </c>
      <c r="H11" s="28">
        <f>2*(B11/$C$19)*G11*TAN($B$34*$D$22*PI()/180)</f>
        <v>0</v>
      </c>
      <c r="I11" s="40">
        <f>E11-H11</f>
        <v>-1126.9754540625077</v>
      </c>
      <c r="J11" s="198"/>
      <c r="K11" s="39" t="s">
        <v>46</v>
      </c>
      <c r="L11" s="194">
        <f>'English Units'!$B$19</f>
        <v>49.07100883500631</v>
      </c>
      <c r="M11" s="194" t="s">
        <v>47</v>
      </c>
      <c r="N11" s="193">
        <f>B11</f>
        <v>0</v>
      </c>
      <c r="O11" s="194" t="str">
        <f t="shared" si="0"/>
        <v>Geoweb Layer 49.0710088350063V0</v>
      </c>
      <c r="P11" s="194" t="str">
        <f>IF(B11=0," ",O11)</f>
        <v xml:space="preserve"> </v>
      </c>
      <c r="Q11" s="98"/>
      <c r="R11" s="98"/>
      <c r="S11" s="196"/>
    </row>
    <row r="12" spans="1:19" ht="16.5" hidden="1" customHeight="1" x14ac:dyDescent="0.4">
      <c r="A12" s="33" t="s">
        <v>8</v>
      </c>
      <c r="B12" s="34">
        <v>0</v>
      </c>
      <c r="C12" s="28">
        <f t="shared" si="1"/>
        <v>18</v>
      </c>
      <c r="D12" s="28" t="s">
        <v>10</v>
      </c>
      <c r="E12" s="27">
        <f>IF(B12&lt;=0,I$11,(E$5*(1-(1/(1+($D$5/C12)^2))^(3/2)))-H$7-H$9-H$11)</f>
        <v>-1126.9754540625077</v>
      </c>
      <c r="F12" s="37"/>
      <c r="G12" s="37"/>
      <c r="H12" s="37"/>
      <c r="I12" s="38"/>
      <c r="J12" s="198"/>
      <c r="K12" s="42">
        <f>B12</f>
        <v>0</v>
      </c>
      <c r="L12" s="194" t="s">
        <v>43</v>
      </c>
      <c r="M12" s="194" t="s">
        <v>48</v>
      </c>
      <c r="N12" s="193" t="s">
        <v>49</v>
      </c>
      <c r="O12" s="194" t="str">
        <f t="shared" si="0"/>
        <v>0" Aggregate Layer</v>
      </c>
      <c r="P12" s="194" t="str">
        <f>IF(K10=0," ",IF(K12=0," ",CONCATENATE(K12,L12,M12," + ",K15,L15)))</f>
        <v xml:space="preserve"> </v>
      </c>
      <c r="Q12" s="98"/>
      <c r="R12" s="98"/>
      <c r="S12" s="196"/>
    </row>
    <row r="13" spans="1:19" ht="16.5" hidden="1" customHeight="1" x14ac:dyDescent="0.4">
      <c r="A13" s="33" t="s">
        <v>52</v>
      </c>
      <c r="B13" s="34">
        <v>0</v>
      </c>
      <c r="C13" s="28">
        <f t="shared" si="1"/>
        <v>18</v>
      </c>
      <c r="D13" s="28" t="s">
        <v>10</v>
      </c>
      <c r="E13" s="27">
        <f>IF(B13&lt;=0,E$12,(E$5*(1-(1/(1+($D$5/C13)^2))^(3/2)))-H$7-H$9-H$11)</f>
        <v>-1126.9754540625077</v>
      </c>
      <c r="F13" s="28">
        <f>(E12+E13)/2</f>
        <v>-1126.9754540625077</v>
      </c>
      <c r="G13" s="28">
        <f>F13*(TAN((45-$D$22/2)*PI()/180))^2</f>
        <v>-346.27281518828505</v>
      </c>
      <c r="H13" s="28">
        <f>2*(B13/$C$19)*G13*TAN($B$34*$D$22*PI()/180)</f>
        <v>0</v>
      </c>
      <c r="I13" s="40">
        <f>E13-H13</f>
        <v>-1126.9754540625077</v>
      </c>
      <c r="J13" s="198"/>
      <c r="K13" s="39" t="s">
        <v>46</v>
      </c>
      <c r="L13" s="194">
        <f>'English Units'!$B$19</f>
        <v>49.07100883500631</v>
      </c>
      <c r="M13" s="194" t="s">
        <v>47</v>
      </c>
      <c r="N13" s="193">
        <f>B13</f>
        <v>0</v>
      </c>
      <c r="O13" s="194" t="str">
        <f t="shared" si="0"/>
        <v>Geoweb Layer 49.0710088350063V0</v>
      </c>
      <c r="P13" s="194" t="str">
        <f>IF(B13=0," ",O13)</f>
        <v xml:space="preserve"> </v>
      </c>
      <c r="Q13" s="98"/>
      <c r="R13" s="98"/>
      <c r="S13" s="196"/>
    </row>
    <row r="14" spans="1:19" ht="16.5" hidden="1" customHeight="1" x14ac:dyDescent="0.4">
      <c r="A14" s="33" t="s">
        <v>8</v>
      </c>
      <c r="B14" s="34">
        <v>0</v>
      </c>
      <c r="C14" s="28">
        <f t="shared" si="1"/>
        <v>18</v>
      </c>
      <c r="D14" s="28" t="s">
        <v>10</v>
      </c>
      <c r="E14" s="27">
        <f>IF(B14&lt;=0,I$13,(E$5*(1-(1/(1+($D$5/C14)^2))^(3/2)))-H$7-H$9-H$11-H$13)</f>
        <v>-1126.9754540625077</v>
      </c>
      <c r="F14" s="37"/>
      <c r="G14" s="37"/>
      <c r="H14" s="37"/>
      <c r="I14" s="38"/>
      <c r="J14" s="198"/>
      <c r="K14" s="42">
        <f>B14</f>
        <v>0</v>
      </c>
      <c r="L14" s="194" t="s">
        <v>43</v>
      </c>
      <c r="M14" s="194" t="s">
        <v>48</v>
      </c>
      <c r="N14" s="193" t="s">
        <v>49</v>
      </c>
      <c r="O14" s="194" t="str">
        <f t="shared" si="0"/>
        <v>0" Aggregate Layer</v>
      </c>
      <c r="P14" s="194" t="str">
        <f>IF(K12=0," ",IF(K14=0," ",CONCATENATE(K14,L14,M14," + ",K15,L15)))</f>
        <v xml:space="preserve"> </v>
      </c>
      <c r="Q14" s="98"/>
      <c r="R14" s="98"/>
      <c r="S14" s="196"/>
    </row>
    <row r="15" spans="1:19" ht="16.5" customHeight="1" x14ac:dyDescent="0.4">
      <c r="A15" s="43" t="s">
        <v>53</v>
      </c>
      <c r="B15" s="44"/>
      <c r="C15" s="45">
        <f ca="1">INDIRECT(ADDRESS(ROW()-1,COLUMN()))</f>
        <v>18</v>
      </c>
      <c r="D15" s="45" t="s">
        <v>10</v>
      </c>
      <c r="E15" s="46">
        <f ca="1">INDIRECT(ADDRESS(ROW()-1,COLUMN()))</f>
        <v>-1126.9754540625077</v>
      </c>
      <c r="F15" s="47"/>
      <c r="G15" s="47"/>
      <c r="H15" s="47"/>
      <c r="I15" s="48"/>
      <c r="J15" s="98"/>
      <c r="K15" s="193" t="str">
        <f>B35</f>
        <v>Non-woven</v>
      </c>
      <c r="L15" s="39" t="s">
        <v>54</v>
      </c>
      <c r="M15" s="194"/>
      <c r="N15" s="194"/>
      <c r="O15" s="194" t="str">
        <f t="shared" si="0"/>
        <v>Non-woven Geotextile</v>
      </c>
      <c r="P15" s="194" t="str">
        <f>IF(K8=0," ",IF(K10=0," ",IF(K12=0," ",IF(K14=0," ",O15))))</f>
        <v xml:space="preserve"> </v>
      </c>
      <c r="Q15" s="98"/>
      <c r="R15" s="196">
        <f>MAX(R7:R8)</f>
        <v>6</v>
      </c>
      <c r="S15" s="196" t="e">
        <f ca="1">IF(OR(D42&lt;0,D42&gt;1.5),B8-1,B8)</f>
        <v>#VALUE!</v>
      </c>
    </row>
    <row r="16" spans="1:19" ht="16.5" hidden="1" customHeight="1" x14ac:dyDescent="0.4">
      <c r="A16" s="49"/>
      <c r="B16" s="293" t="s">
        <v>55</v>
      </c>
      <c r="C16" s="293"/>
      <c r="D16" s="293"/>
      <c r="E16" s="293"/>
      <c r="F16" s="293"/>
      <c r="G16" s="50"/>
      <c r="H16" s="50"/>
      <c r="I16" s="50"/>
      <c r="J16" s="98"/>
      <c r="K16" s="98"/>
      <c r="L16" s="98"/>
      <c r="M16" s="98"/>
      <c r="N16" s="98"/>
      <c r="O16" s="98"/>
      <c r="P16" s="98"/>
      <c r="Q16" s="98"/>
      <c r="R16" s="98"/>
      <c r="S16" s="98"/>
    </row>
    <row r="17" spans="1:19" ht="16.5" customHeight="1" x14ac:dyDescent="0.4">
      <c r="A17" s="49"/>
      <c r="B17" s="41"/>
      <c r="C17" s="41"/>
      <c r="D17" s="41"/>
      <c r="E17" s="41"/>
      <c r="F17" s="41"/>
      <c r="G17" s="50"/>
      <c r="H17" s="50"/>
      <c r="I17" s="50"/>
      <c r="J17" s="98"/>
      <c r="K17" s="98"/>
      <c r="L17" s="98"/>
      <c r="M17" s="98"/>
      <c r="N17" s="98"/>
      <c r="O17" s="98"/>
      <c r="P17" s="98"/>
      <c r="Q17" s="98"/>
      <c r="R17" s="98"/>
      <c r="S17" s="196" t="e">
        <f ca="1">AVERAGE(S8:S15)</f>
        <v>#VALUE!</v>
      </c>
    </row>
    <row r="18" spans="1:19" ht="16.5" customHeight="1" thickBot="1" x14ac:dyDescent="0.45">
      <c r="A18" s="51" t="s">
        <v>9</v>
      </c>
      <c r="B18" s="52" t="s">
        <v>56</v>
      </c>
      <c r="C18" s="52" t="s">
        <v>57</v>
      </c>
      <c r="D18" s="52" t="s">
        <v>58</v>
      </c>
      <c r="E18" s="53"/>
      <c r="F18" s="53"/>
      <c r="G18" s="54"/>
      <c r="H18" s="54"/>
      <c r="I18" s="55"/>
      <c r="J18" s="98"/>
      <c r="K18" s="98"/>
      <c r="L18" s="98"/>
      <c r="M18" s="98"/>
      <c r="N18" s="98"/>
      <c r="O18" s="98"/>
      <c r="P18" s="98"/>
      <c r="Q18" s="98"/>
      <c r="R18" s="98"/>
      <c r="S18" s="98"/>
    </row>
    <row r="19" spans="1:19" ht="16.5" customHeight="1" x14ac:dyDescent="0.4">
      <c r="A19" s="56"/>
      <c r="B19" s="57">
        <f>S20</f>
        <v>49.07100883500631</v>
      </c>
      <c r="C19" s="58" t="str">
        <f>IF(B19="GW20V",7.5,IF(B19="GW30V",9.5,"1"))</f>
        <v>1</v>
      </c>
      <c r="D19" s="59">
        <f>+B7</f>
        <v>8</v>
      </c>
      <c r="E19" s="60"/>
      <c r="F19" s="60"/>
      <c r="G19" s="61"/>
      <c r="H19" s="61"/>
      <c r="I19" s="62"/>
      <c r="J19" s="98"/>
      <c r="K19" s="98"/>
      <c r="L19" s="98"/>
      <c r="M19" s="98"/>
      <c r="N19" s="98"/>
      <c r="O19" s="98"/>
      <c r="P19" s="98"/>
      <c r="Q19" s="98"/>
      <c r="R19" s="98"/>
      <c r="S19" s="199"/>
    </row>
    <row r="20" spans="1:19" ht="16.5" customHeight="1" x14ac:dyDescent="0.4">
      <c r="A20" s="49"/>
      <c r="B20" s="41"/>
      <c r="C20" s="41"/>
      <c r="D20" s="41"/>
      <c r="E20" s="41"/>
      <c r="F20" s="41"/>
      <c r="G20" s="50"/>
      <c r="H20" s="50"/>
      <c r="I20" s="50"/>
      <c r="J20" s="98"/>
      <c r="K20" s="98"/>
      <c r="L20" s="98"/>
      <c r="M20" s="98"/>
      <c r="N20" s="98"/>
      <c r="O20" s="98"/>
      <c r="P20" s="98"/>
      <c r="Q20" s="98"/>
      <c r="R20" s="98">
        <f>'Construction Mat'!C21</f>
        <v>49.07100883500631</v>
      </c>
      <c r="S20" s="98">
        <f>IF(R20="","GW30V",R20)</f>
        <v>49.07100883500631</v>
      </c>
    </row>
    <row r="21" spans="1:19" ht="39" customHeight="1" thickBot="1" x14ac:dyDescent="0.45">
      <c r="A21" s="63" t="s">
        <v>59</v>
      </c>
      <c r="B21" s="52" t="s">
        <v>25</v>
      </c>
      <c r="C21" s="52" t="s">
        <v>60</v>
      </c>
      <c r="D21" s="52" t="s">
        <v>61</v>
      </c>
      <c r="E21" s="52" t="s">
        <v>62</v>
      </c>
      <c r="F21" s="53"/>
      <c r="G21" s="54"/>
      <c r="H21" s="54"/>
      <c r="I21" s="55"/>
      <c r="J21" s="98"/>
      <c r="K21" s="98"/>
      <c r="L21" s="98"/>
      <c r="M21" s="98"/>
      <c r="N21" s="98"/>
      <c r="O21" s="98"/>
      <c r="P21" s="98"/>
      <c r="Q21" s="98"/>
      <c r="R21" s="98"/>
      <c r="S21" s="98"/>
    </row>
    <row r="22" spans="1:19" x14ac:dyDescent="0.4">
      <c r="A22" s="64" t="s">
        <v>63</v>
      </c>
      <c r="B22" s="136">
        <f>'Construction Mat'!C20</f>
        <v>84</v>
      </c>
      <c r="C22" s="137">
        <v>110</v>
      </c>
      <c r="D22" s="137">
        <v>32</v>
      </c>
      <c r="E22" s="65"/>
      <c r="F22" s="41"/>
      <c r="G22" s="50"/>
      <c r="H22" s="50"/>
      <c r="I22" s="66"/>
    </row>
    <row r="23" spans="1:19" x14ac:dyDescent="0.4">
      <c r="A23" s="43"/>
      <c r="B23" s="67"/>
      <c r="C23" s="68"/>
      <c r="D23" s="68"/>
      <c r="E23" s="69">
        <f ca="1">C22/(12)^3*C15</f>
        <v>1.1458333333333335</v>
      </c>
      <c r="F23" s="60"/>
      <c r="G23" s="61"/>
      <c r="H23" s="61"/>
      <c r="I23" s="62"/>
    </row>
    <row r="24" spans="1:19" ht="16.5" customHeight="1" x14ac:dyDescent="0.4">
      <c r="A24" s="49"/>
      <c r="B24" s="70"/>
      <c r="C24" s="70"/>
      <c r="D24" s="70"/>
      <c r="E24" s="71"/>
      <c r="F24" s="72" t="s">
        <v>10</v>
      </c>
      <c r="G24" s="72"/>
      <c r="H24" s="72"/>
      <c r="I24" s="72"/>
    </row>
    <row r="25" spans="1:19" ht="37.200000000000003" thickBot="1" x14ac:dyDescent="0.45">
      <c r="A25" s="63" t="s">
        <v>64</v>
      </c>
      <c r="B25" s="52" t="s">
        <v>65</v>
      </c>
      <c r="C25" s="52" t="s">
        <v>60</v>
      </c>
      <c r="D25" s="52" t="s">
        <v>66</v>
      </c>
      <c r="E25" s="52" t="s">
        <v>67</v>
      </c>
      <c r="F25" s="53"/>
      <c r="G25" s="52" t="s">
        <v>68</v>
      </c>
      <c r="H25" s="52" t="s">
        <v>69</v>
      </c>
      <c r="I25" s="55"/>
    </row>
    <row r="26" spans="1:19" ht="16.5" customHeight="1" x14ac:dyDescent="0.4">
      <c r="A26" s="25" t="s">
        <v>70</v>
      </c>
      <c r="B26" s="138">
        <f>+SUM(B6:B14)</f>
        <v>18</v>
      </c>
      <c r="C26" s="139">
        <v>0</v>
      </c>
      <c r="D26" s="140"/>
      <c r="E26" s="50"/>
      <c r="F26" s="72"/>
      <c r="G26" s="72"/>
      <c r="H26" s="72"/>
      <c r="I26" s="73"/>
    </row>
    <row r="27" spans="1:19" ht="16.5" customHeight="1" x14ac:dyDescent="0.4">
      <c r="A27" s="33" t="s">
        <v>71</v>
      </c>
      <c r="B27" s="141"/>
      <c r="C27" s="141"/>
      <c r="D27" s="142" t="str">
        <f>IF('Construction Mat'!C15="Undrained Shear Strength",'Construction Mat'!C16,IF('Construction Mat'!C15="CBR",'Construction Mat'!C16*4.34,""))</f>
        <v/>
      </c>
      <c r="E27" s="74"/>
      <c r="F27" s="75"/>
      <c r="G27" s="74" t="e">
        <f>$D$27/434</f>
        <v>#VALUE!</v>
      </c>
      <c r="H27" s="76" t="e">
        <f>19.917*LN(G27 *100) - 3.9928</f>
        <v>#VALUE!</v>
      </c>
      <c r="I27" s="77"/>
    </row>
    <row r="28" spans="1:19" ht="16.5" customHeight="1" x14ac:dyDescent="0.4">
      <c r="A28" s="43"/>
      <c r="B28" s="78"/>
      <c r="C28" s="79"/>
      <c r="D28" s="61"/>
      <c r="E28" s="80">
        <f>-(C26/(12)^3*B26)</f>
        <v>0</v>
      </c>
      <c r="F28" s="81"/>
      <c r="G28" s="81"/>
      <c r="H28" s="81"/>
      <c r="I28" s="82"/>
    </row>
    <row r="29" spans="1:19" ht="16.5" customHeight="1" x14ac:dyDescent="0.4">
      <c r="A29" s="49"/>
      <c r="B29" s="83"/>
      <c r="C29" s="84"/>
      <c r="D29" s="85"/>
      <c r="E29" s="85"/>
      <c r="F29" s="72"/>
      <c r="G29" s="72"/>
      <c r="H29" s="72"/>
      <c r="I29" s="72"/>
    </row>
    <row r="30" spans="1:19" s="90" customFormat="1" ht="16.5" customHeight="1" thickBot="1" x14ac:dyDescent="0.45">
      <c r="A30" s="86" t="s">
        <v>72</v>
      </c>
      <c r="B30" s="87"/>
      <c r="C30" s="88"/>
      <c r="D30" s="88"/>
      <c r="E30" s="88"/>
      <c r="F30" s="88"/>
      <c r="G30" s="88"/>
      <c r="H30" s="88"/>
      <c r="I30" s="89"/>
    </row>
    <row r="31" spans="1:19" ht="16.5" customHeight="1" x14ac:dyDescent="0.4">
      <c r="A31" s="33" t="s">
        <v>73</v>
      </c>
      <c r="B31" s="143">
        <f>'Construction Mat'!C14*1000</f>
        <v>110000</v>
      </c>
      <c r="C31" s="294" t="str">
        <f>CONCATENATE('Construction Mat'!C9," ",'Construction Mat'!C11," Access")</f>
        <v>H-15 Light Fire  Truck or Medium Construction Equipment Access</v>
      </c>
      <c r="D31" s="294"/>
      <c r="E31" s="294"/>
      <c r="F31" s="294"/>
      <c r="G31" s="294"/>
      <c r="H31" s="294"/>
      <c r="I31" s="144" t="s">
        <v>10</v>
      </c>
    </row>
    <row r="32" spans="1:19" ht="16.5" customHeight="1" x14ac:dyDescent="0.4">
      <c r="A32" s="33" t="s">
        <v>74</v>
      </c>
      <c r="B32" s="139">
        <f>'Construction Mat'!C12</f>
        <v>586</v>
      </c>
      <c r="C32" s="140"/>
      <c r="D32" s="140"/>
      <c r="E32" s="140"/>
      <c r="F32" s="140"/>
      <c r="G32" s="140"/>
      <c r="H32" s="140"/>
      <c r="I32" s="144"/>
    </row>
    <row r="33" spans="1:13" ht="16.5" customHeight="1" x14ac:dyDescent="0.4">
      <c r="A33" s="33" t="s">
        <v>75</v>
      </c>
      <c r="B33" s="145">
        <f>IF(I33&gt;0,I33,ATAN(D33/F33)*180/PI())</f>
        <v>45</v>
      </c>
      <c r="C33" s="146" t="s">
        <v>76</v>
      </c>
      <c r="D33" s="147">
        <v>0</v>
      </c>
      <c r="E33" s="146" t="s">
        <v>77</v>
      </c>
      <c r="F33" s="147">
        <v>0</v>
      </c>
      <c r="G33" s="148" t="s">
        <v>78</v>
      </c>
      <c r="H33" s="146" t="s">
        <v>79</v>
      </c>
      <c r="I33" s="149">
        <v>45</v>
      </c>
    </row>
    <row r="34" spans="1:13" ht="16.5" customHeight="1" x14ac:dyDescent="0.4">
      <c r="A34" s="33" t="s">
        <v>80</v>
      </c>
      <c r="B34" s="150">
        <v>0.95</v>
      </c>
      <c r="C34" s="140"/>
      <c r="D34" s="140"/>
      <c r="E34" s="140"/>
      <c r="F34" s="140"/>
      <c r="G34" s="140"/>
      <c r="H34" s="140"/>
      <c r="I34" s="144"/>
    </row>
    <row r="35" spans="1:13" ht="16.5" customHeight="1" x14ac:dyDescent="0.4">
      <c r="A35" s="33" t="s">
        <v>81</v>
      </c>
      <c r="B35" s="142" t="s">
        <v>131</v>
      </c>
      <c r="C35" s="151"/>
      <c r="D35" s="152"/>
      <c r="E35" s="151"/>
      <c r="F35" s="152"/>
      <c r="G35" s="153"/>
      <c r="H35" s="154"/>
      <c r="I35" s="155"/>
    </row>
    <row r="36" spans="1:13" ht="16.5" customHeight="1" x14ac:dyDescent="0.4">
      <c r="A36" s="33" t="s">
        <v>82</v>
      </c>
      <c r="B36" s="156">
        <v>2.8</v>
      </c>
      <c r="C36" s="157" t="str">
        <f>IF(B36&lt;2.8,"2.80 is generally the minimum.","")</f>
        <v/>
      </c>
      <c r="D36" s="135">
        <v>2.8</v>
      </c>
      <c r="E36" s="157"/>
      <c r="F36" s="295"/>
      <c r="G36" s="295"/>
      <c r="H36" s="295"/>
      <c r="I36" s="296"/>
    </row>
    <row r="37" spans="1:13" ht="16.5" customHeight="1" x14ac:dyDescent="0.4">
      <c r="A37" s="43" t="s">
        <v>83</v>
      </c>
      <c r="B37" s="158">
        <v>1.3</v>
      </c>
      <c r="C37" s="159"/>
      <c r="D37" s="160"/>
      <c r="E37" s="161"/>
      <c r="F37" s="162"/>
      <c r="G37" s="162"/>
      <c r="H37" s="162"/>
      <c r="I37" s="163"/>
    </row>
    <row r="38" spans="1:13" ht="16.5" customHeight="1" x14ac:dyDescent="0.4">
      <c r="A38" s="291"/>
      <c r="B38" s="291"/>
      <c r="C38" s="291"/>
      <c r="D38" s="291"/>
      <c r="E38" s="291"/>
      <c r="F38" s="291"/>
      <c r="G38" s="291"/>
      <c r="H38" s="291"/>
      <c r="I38" s="291"/>
      <c r="K38" s="92"/>
      <c r="L38" s="92"/>
      <c r="M38" s="92"/>
    </row>
    <row r="39" spans="1:13" ht="16.5" customHeight="1" thickBot="1" x14ac:dyDescent="0.45">
      <c r="A39" s="93" t="s">
        <v>84</v>
      </c>
      <c r="B39" s="93"/>
      <c r="C39" s="94"/>
      <c r="D39" s="94"/>
      <c r="E39" s="94"/>
      <c r="F39" s="94"/>
      <c r="G39" s="94"/>
      <c r="H39" s="94"/>
      <c r="I39" s="95"/>
      <c r="K39" s="92"/>
      <c r="L39" s="92"/>
      <c r="M39" s="92"/>
    </row>
    <row r="40" spans="1:13" ht="16.5" customHeight="1" x14ac:dyDescent="0.4">
      <c r="A40" s="297" t="s">
        <v>85</v>
      </c>
      <c r="B40" s="298"/>
      <c r="C40" s="96"/>
      <c r="D40" s="97">
        <f ca="1">E15+E23+E28</f>
        <v>-1125.8296207291744</v>
      </c>
      <c r="E40" s="72"/>
      <c r="F40" s="72"/>
      <c r="G40" s="65"/>
      <c r="H40" s="72"/>
      <c r="I40" s="73"/>
      <c r="K40" s="98"/>
      <c r="L40" s="99"/>
      <c r="M40" s="92"/>
    </row>
    <row r="41" spans="1:13" ht="16.5" customHeight="1" x14ac:dyDescent="0.4">
      <c r="A41" s="297" t="s">
        <v>86</v>
      </c>
      <c r="B41" s="298"/>
      <c r="C41" s="28"/>
      <c r="D41" s="100" t="e">
        <f>D27*B36</f>
        <v>#VALUE!</v>
      </c>
      <c r="E41" s="72"/>
      <c r="F41" s="72"/>
      <c r="G41" s="65"/>
      <c r="H41" s="72"/>
      <c r="I41" s="73"/>
      <c r="K41" s="98"/>
      <c r="M41" s="92"/>
    </row>
    <row r="42" spans="1:13" ht="16.5" customHeight="1" x14ac:dyDescent="0.4">
      <c r="A42" s="101" t="s">
        <v>87</v>
      </c>
      <c r="B42" s="102"/>
      <c r="C42" s="45"/>
      <c r="D42" s="103" t="e">
        <f ca="1">D41/D40</f>
        <v>#VALUE!</v>
      </c>
      <c r="E42" s="290" t="e">
        <f ca="1">IF(D42&lt;1,"Change Configuration",(IF(D42&lt;B37,"Design Potentially Good with Factor of Safety","Acceptable Design")))</f>
        <v>#VALUE!</v>
      </c>
      <c r="F42" s="290"/>
      <c r="G42" s="91"/>
      <c r="H42" s="104"/>
      <c r="I42" s="105"/>
      <c r="K42" s="106"/>
      <c r="M42" s="92"/>
    </row>
    <row r="43" spans="1:13" ht="16.5" hidden="1" customHeight="1" x14ac:dyDescent="0.4">
      <c r="A43" s="107" t="s">
        <v>88</v>
      </c>
      <c r="B43" s="91"/>
      <c r="C43" s="108" t="e">
        <f>$D$5/((1/(1-$D$36*$D$27/$B$32)^(2/3))-1)^(1/2)</f>
        <v>#VALUE!</v>
      </c>
      <c r="D43" s="109" t="e">
        <f ca="1">C15/C43*100</f>
        <v>#VALUE!</v>
      </c>
      <c r="E43" s="91"/>
      <c r="F43" s="91"/>
      <c r="G43" s="91"/>
      <c r="H43" s="91"/>
      <c r="I43" s="110"/>
      <c r="K43" s="106"/>
      <c r="M43" s="92"/>
    </row>
    <row r="44" spans="1:13" ht="16.5" customHeight="1" x14ac:dyDescent="0.4">
      <c r="A44" s="111"/>
      <c r="B44" s="112"/>
      <c r="C44" s="85"/>
      <c r="D44" s="85"/>
      <c r="E44" s="85"/>
      <c r="F44" s="85"/>
      <c r="G44" s="85"/>
      <c r="H44" s="85"/>
      <c r="I44" s="85"/>
      <c r="K44" s="106"/>
      <c r="M44" s="92"/>
    </row>
    <row r="45" spans="1:13" ht="16.5" customHeight="1" x14ac:dyDescent="0.4">
      <c r="A45" s="291"/>
      <c r="B45" s="291"/>
      <c r="C45" s="291"/>
      <c r="D45" s="291"/>
      <c r="E45" s="291"/>
      <c r="F45" s="291"/>
      <c r="G45" s="291"/>
      <c r="H45" s="291"/>
      <c r="I45" s="291"/>
    </row>
    <row r="46" spans="1:13" ht="13.2" customHeight="1" x14ac:dyDescent="0.5">
      <c r="A46" s="113" t="s">
        <v>89</v>
      </c>
    </row>
    <row r="47" spans="1:13" ht="12.75" customHeight="1" x14ac:dyDescent="0.5">
      <c r="A47" s="115"/>
    </row>
    <row r="48" spans="1:13" ht="60" customHeight="1" x14ac:dyDescent="0.4">
      <c r="A48" s="292" t="s">
        <v>90</v>
      </c>
      <c r="B48" s="292"/>
      <c r="C48" s="292"/>
      <c r="D48" s="292"/>
      <c r="E48" s="292"/>
      <c r="F48" s="292"/>
      <c r="G48" s="292"/>
      <c r="H48" s="292"/>
      <c r="I48" s="292"/>
    </row>
    <row r="49" spans="1:9" ht="48.75" customHeight="1" x14ac:dyDescent="0.4">
      <c r="A49" s="292" t="s">
        <v>10</v>
      </c>
      <c r="B49" s="292"/>
      <c r="C49" s="292"/>
      <c r="D49" s="292"/>
      <c r="E49" s="292"/>
      <c r="F49" s="292"/>
      <c r="G49" s="292"/>
      <c r="H49" s="292"/>
      <c r="I49" s="292"/>
    </row>
    <row r="50" spans="1:9" ht="15" x14ac:dyDescent="0.5">
      <c r="A50" s="116"/>
    </row>
    <row r="51" spans="1:9" ht="15" x14ac:dyDescent="0.5">
      <c r="A51" s="116"/>
    </row>
  </sheetData>
  <sheetProtection sheet="1" objects="1" scenarios="1"/>
  <mergeCells count="18">
    <mergeCell ref="E42:F42"/>
    <mergeCell ref="A45:I45"/>
    <mergeCell ref="A48:I48"/>
    <mergeCell ref="A49:I49"/>
    <mergeCell ref="B16:F16"/>
    <mergeCell ref="C31:H31"/>
    <mergeCell ref="F36:I36"/>
    <mergeCell ref="A38:I38"/>
    <mergeCell ref="A40:B40"/>
    <mergeCell ref="A41:B41"/>
    <mergeCell ref="B1:I1"/>
    <mergeCell ref="B2:G2"/>
    <mergeCell ref="A3:A4"/>
    <mergeCell ref="B3:B4"/>
    <mergeCell ref="C3:C4"/>
    <mergeCell ref="D3:D4"/>
    <mergeCell ref="E3:E4"/>
    <mergeCell ref="F3:I3"/>
  </mergeCells>
  <conditionalFormatting sqref="B8">
    <cfRule type="expression" dxfId="2" priority="2">
      <formula>$D$42&lt;$B$37</formula>
    </cfRule>
  </conditionalFormatting>
  <conditionalFormatting sqref="B6">
    <cfRule type="cellIs" dxfId="1" priority="1" operator="lessThan">
      <formula>2</formula>
    </cfRule>
  </conditionalFormatting>
  <printOptions horizontalCentered="1"/>
  <pageMargins left="0.75" right="0.75" top="1" bottom="1" header="0.5" footer="0.5"/>
  <pageSetup scale="71" orientation="portrait" horizontalDpi="4294967293" verticalDpi="1200" r:id="rId1"/>
  <headerFooter alignWithMargins="0">
    <oddFooter>&amp;L&amp;D&amp;RPage &amp;P of &amp;N</oddFooter>
  </headerFooter>
  <drawing r:id="rId2"/>
  <legacyDrawing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Data!$U$3:$U$4</xm:f>
          </x14:formula1>
          <xm:sqref>B35</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51"/>
  <sheetViews>
    <sheetView view="pageBreakPreview" zoomScale="85" zoomScaleNormal="100" zoomScaleSheetLayoutView="85" workbookViewId="0">
      <selection activeCell="B15" sqref="B15"/>
    </sheetView>
  </sheetViews>
  <sheetFormatPr defaultColWidth="8.89453125" defaultRowHeight="12.3" x14ac:dyDescent="0.4"/>
  <cols>
    <col min="1" max="1" width="31.68359375" style="117" bestFit="1" customWidth="1"/>
    <col min="2" max="8" width="11.5234375" style="114" customWidth="1"/>
    <col min="9" max="9" width="12.5234375" style="114" customWidth="1"/>
    <col min="10" max="10" width="12.5234375" style="13" customWidth="1"/>
    <col min="11" max="11" width="14.1015625" style="13" hidden="1" customWidth="1"/>
    <col min="12" max="12" width="9.3125" style="13" hidden="1" customWidth="1"/>
    <col min="13" max="13" width="13.3125" style="13" hidden="1" customWidth="1"/>
    <col min="14" max="14" width="6.3125" style="13" hidden="1" customWidth="1"/>
    <col min="15" max="15" width="23.68359375" style="13" hidden="1" customWidth="1"/>
    <col min="16" max="19" width="12.5234375" style="13" hidden="1" customWidth="1"/>
    <col min="20" max="21" width="12.5234375" style="13" customWidth="1"/>
    <col min="22" max="16384" width="8.89453125" style="13"/>
  </cols>
  <sheetData>
    <row r="1" spans="1:31" ht="68.25" customHeight="1" x14ac:dyDescent="0.6">
      <c r="A1" s="12"/>
      <c r="B1" s="281" t="s">
        <v>28</v>
      </c>
      <c r="C1" s="281"/>
      <c r="D1" s="281"/>
      <c r="E1" s="281"/>
      <c r="F1" s="281"/>
      <c r="G1" s="281"/>
      <c r="H1" s="281"/>
      <c r="I1" s="281"/>
      <c r="J1" s="98"/>
      <c r="K1" s="98"/>
      <c r="L1" s="98"/>
      <c r="M1" s="98"/>
      <c r="N1" s="98"/>
      <c r="O1" s="98"/>
      <c r="P1" s="98"/>
      <c r="Q1" s="98"/>
      <c r="R1" s="98"/>
      <c r="S1" s="98"/>
      <c r="T1" s="98"/>
      <c r="U1" s="98"/>
      <c r="V1" s="98"/>
      <c r="W1" s="98"/>
      <c r="X1" s="98"/>
      <c r="Y1" s="98"/>
      <c r="Z1" s="98"/>
      <c r="AA1" s="98"/>
      <c r="AB1" s="98"/>
      <c r="AC1" s="98"/>
      <c r="AD1" s="98"/>
      <c r="AE1" s="98"/>
    </row>
    <row r="2" spans="1:31" s="16" customFormat="1" ht="26.25" customHeight="1" x14ac:dyDescent="0.55000000000000004">
      <c r="A2" s="14" t="s">
        <v>29</v>
      </c>
      <c r="B2" s="282" t="str">
        <f>CONCATENATE('Construction Mat'!B2:D2," ",'Construction Mat'!B3:D3)</f>
        <v xml:space="preserve">PRXXXX - Name </v>
      </c>
      <c r="C2" s="282"/>
      <c r="D2" s="282"/>
      <c r="E2" s="282"/>
      <c r="F2" s="282"/>
      <c r="G2" s="282"/>
      <c r="H2" s="15" t="s">
        <v>30</v>
      </c>
      <c r="I2" s="190" t="str">
        <f>'Construction Mat'!E3</f>
        <v>TODAY</v>
      </c>
      <c r="K2" s="17" t="s">
        <v>31</v>
      </c>
      <c r="L2" s="18"/>
      <c r="M2" s="18"/>
      <c r="N2" s="18"/>
      <c r="O2" s="17" t="str">
        <f>CONCATENATE(B2,CHAR(10),K2)</f>
        <v>PRXXXX - Name 
Geoweb System Stress Reduction</v>
      </c>
      <c r="P2" s="18"/>
    </row>
    <row r="3" spans="1:31" s="19" customFormat="1" ht="16.5" customHeight="1" x14ac:dyDescent="0.4">
      <c r="A3" s="283" t="s">
        <v>32</v>
      </c>
      <c r="B3" s="285" t="s">
        <v>112</v>
      </c>
      <c r="C3" s="285" t="s">
        <v>113</v>
      </c>
      <c r="D3" s="285" t="s">
        <v>114</v>
      </c>
      <c r="E3" s="285" t="s">
        <v>115</v>
      </c>
      <c r="F3" s="287" t="s">
        <v>37</v>
      </c>
      <c r="G3" s="288"/>
      <c r="H3" s="288"/>
      <c r="I3" s="289"/>
      <c r="K3" s="20"/>
      <c r="L3" s="20"/>
      <c r="M3" s="20"/>
      <c r="N3" s="20"/>
      <c r="O3" s="20"/>
      <c r="P3" s="20"/>
    </row>
    <row r="4" spans="1:31" s="23" customFormat="1" ht="42" customHeight="1" thickBot="1" x14ac:dyDescent="0.45">
      <c r="A4" s="284"/>
      <c r="B4" s="286"/>
      <c r="C4" s="286"/>
      <c r="D4" s="286"/>
      <c r="E4" s="286"/>
      <c r="F4" s="21" t="s">
        <v>116</v>
      </c>
      <c r="G4" s="21" t="s">
        <v>117</v>
      </c>
      <c r="H4" s="21" t="s">
        <v>118</v>
      </c>
      <c r="I4" s="22" t="s">
        <v>119</v>
      </c>
      <c r="K4" s="24"/>
      <c r="L4" s="24"/>
      <c r="M4" s="24"/>
      <c r="N4" s="24"/>
      <c r="O4" s="24"/>
      <c r="P4" s="24"/>
    </row>
    <row r="5" spans="1:31" s="31" customFormat="1" ht="16.5" customHeight="1" x14ac:dyDescent="0.4">
      <c r="A5" s="33" t="s">
        <v>6</v>
      </c>
      <c r="B5" s="26"/>
      <c r="C5" s="27">
        <v>0</v>
      </c>
      <c r="D5" s="28">
        <f>(B31/(PI()*B32))^(1/2)</f>
        <v>0.24444018189726405</v>
      </c>
      <c r="E5" s="27">
        <f>B32</f>
        <v>586</v>
      </c>
      <c r="F5" s="29"/>
      <c r="G5" s="29"/>
      <c r="H5" s="29"/>
      <c r="I5" s="30"/>
      <c r="K5" s="32"/>
      <c r="L5" s="32"/>
      <c r="M5" s="32"/>
      <c r="N5" s="32"/>
      <c r="O5" s="32"/>
      <c r="P5" s="32"/>
    </row>
    <row r="6" spans="1:31" s="31" customFormat="1" ht="16.5" customHeight="1" x14ac:dyDescent="0.4">
      <c r="A6" s="33" t="s">
        <v>42</v>
      </c>
      <c r="B6" s="192">
        <v>5.0799999999999998E-2</v>
      </c>
      <c r="C6" s="35">
        <f>C5+B6</f>
        <v>5.0799999999999998E-2</v>
      </c>
      <c r="D6" s="28" t="s">
        <v>10</v>
      </c>
      <c r="E6" s="27">
        <f>(E$5*(1-(1/(1+($D$5/C6)^2))^(3/2)))</f>
        <v>581.06342322232615</v>
      </c>
      <c r="F6" s="36"/>
      <c r="G6" s="36"/>
      <c r="H6" s="37"/>
      <c r="I6" s="38"/>
      <c r="K6" s="193">
        <f>B6</f>
        <v>5.0799999999999998E-2</v>
      </c>
      <c r="L6" s="39" t="s">
        <v>120</v>
      </c>
      <c r="M6" s="39" t="s">
        <v>44</v>
      </c>
      <c r="N6" s="194"/>
      <c r="O6" s="32"/>
      <c r="P6" s="194" t="str">
        <f>CONCATENATE(K6,L6,M6,N6)</f>
        <v>0.0508 mm Wear Surface</v>
      </c>
    </row>
    <row r="7" spans="1:31" ht="16.5" customHeight="1" x14ac:dyDescent="0.4">
      <c r="A7" s="33" t="s">
        <v>45</v>
      </c>
      <c r="B7" s="192">
        <v>0.15</v>
      </c>
      <c r="C7" s="28">
        <f>C6+B7</f>
        <v>0.20079999999999998</v>
      </c>
      <c r="D7" s="28" t="s">
        <v>10</v>
      </c>
      <c r="E7" s="27">
        <f>IF(B7&lt;=0,E6,(E$5*(1-(1/(1+($D$5/C7)^2))^(3/2))))</f>
        <v>436.12741460134112</v>
      </c>
      <c r="F7" s="28">
        <f>(E6+E7)/2</f>
        <v>508.59541891183363</v>
      </c>
      <c r="G7" s="28">
        <f>F7*(TAN((45-$D$22/2)*PI()/180))^2</f>
        <v>156.27027799373676</v>
      </c>
      <c r="H7" s="28">
        <f>2*(B7/$C$19)*G7*TAN($B$34*$D$22*PI()/180)</f>
        <v>27.504968263092856</v>
      </c>
      <c r="I7" s="40">
        <f>E7-H7</f>
        <v>408.62244633824827</v>
      </c>
      <c r="J7" s="198"/>
      <c r="K7" s="39" t="s">
        <v>46</v>
      </c>
      <c r="L7" s="194">
        <f>'Metric Units'!$B$19</f>
        <v>49.07100883500631</v>
      </c>
      <c r="M7" s="194" t="s">
        <v>47</v>
      </c>
      <c r="N7" s="193">
        <f>ROUNDUP(B7/0.0254,1)</f>
        <v>6</v>
      </c>
      <c r="O7" s="194" t="str">
        <f t="shared" ref="O7:O15" si="0">CONCATENATE(K7,L7,M7,N7)</f>
        <v>Geoweb Layer 49.0710088350063V6</v>
      </c>
      <c r="P7" s="194" t="str">
        <f>IF(B7=0," ",O7)</f>
        <v>Geoweb Layer 49.0710088350063V6</v>
      </c>
      <c r="Q7" s="98"/>
      <c r="R7" s="199" t="e">
        <f ca="1">IF(OR(D42&lt;0,D42&gt;2),0,B8)</f>
        <v>#VALUE!</v>
      </c>
      <c r="S7" s="98">
        <f>IF(B31&lt;100,0.1,0.15)</f>
        <v>0.15</v>
      </c>
      <c r="T7" s="98"/>
      <c r="U7" s="98"/>
      <c r="V7" s="98"/>
      <c r="W7" s="98"/>
      <c r="X7" s="98"/>
      <c r="Y7" s="98"/>
      <c r="Z7" s="98"/>
      <c r="AA7" s="98"/>
      <c r="AB7" s="98"/>
      <c r="AC7" s="98"/>
      <c r="AD7" s="98"/>
      <c r="AE7" s="98"/>
    </row>
    <row r="8" spans="1:31" ht="16.5" customHeight="1" x14ac:dyDescent="0.4">
      <c r="A8" s="33" t="s">
        <v>8</v>
      </c>
      <c r="B8" s="191">
        <v>0.15</v>
      </c>
      <c r="C8" s="28">
        <f t="shared" ref="C8:C14" si="1">C7+B8</f>
        <v>0.3508</v>
      </c>
      <c r="D8" s="28" t="s">
        <v>10</v>
      </c>
      <c r="E8" s="27">
        <f>IF(B8&lt;=0,I$7,(E$5*(1-(1/(1+($D$5/C8)^2))^(3/2)))-H$7)</f>
        <v>234.84877078939274</v>
      </c>
      <c r="F8" s="37"/>
      <c r="G8" s="37"/>
      <c r="H8" s="37"/>
      <c r="I8" s="38"/>
      <c r="J8" s="198"/>
      <c r="K8" s="42">
        <f>B8</f>
        <v>0.15</v>
      </c>
      <c r="L8" s="194" t="s">
        <v>120</v>
      </c>
      <c r="M8" s="194" t="s">
        <v>48</v>
      </c>
      <c r="N8" s="193" t="s">
        <v>49</v>
      </c>
      <c r="O8" s="194" t="str">
        <f t="shared" si="0"/>
        <v>0.15 mm Aggregate Layer</v>
      </c>
      <c r="P8" s="194" t="str">
        <f>IF(K8=0,O15,CONCATENATE(K8,L8,M8," + ",K15,L15))</f>
        <v>0.15 mm Aggregate + Non-woven Geotextile</v>
      </c>
      <c r="Q8" s="98" t="str">
        <f>IF(B9=0,P8,O8)</f>
        <v>0.15 mm Aggregate + Non-woven Geotextile</v>
      </c>
      <c r="R8" s="199" t="e">
        <f ca="1">IF(D42&gt;B37,R7,R7+0.025)</f>
        <v>#VALUE!</v>
      </c>
      <c r="S8" s="98">
        <f>IF('Construction Mat'!C16&gt;2.5,0.1,0.15)</f>
        <v>0.15</v>
      </c>
      <c r="T8" s="98"/>
      <c r="U8" s="98"/>
      <c r="V8" s="98"/>
      <c r="W8" s="98"/>
      <c r="X8" s="98"/>
      <c r="Y8" s="98"/>
      <c r="Z8" s="98"/>
      <c r="AA8" s="98"/>
      <c r="AB8" s="98"/>
      <c r="AC8" s="98"/>
      <c r="AD8" s="98"/>
      <c r="AE8" s="98"/>
    </row>
    <row r="9" spans="1:31" ht="16.5" hidden="1" customHeight="1" x14ac:dyDescent="0.4">
      <c r="A9" s="33" t="s">
        <v>50</v>
      </c>
      <c r="B9" s="34">
        <v>0</v>
      </c>
      <c r="C9" s="28">
        <f t="shared" si="1"/>
        <v>0.3508</v>
      </c>
      <c r="D9" s="28" t="s">
        <v>10</v>
      </c>
      <c r="E9" s="27">
        <f>IF(B9&lt;=0,E$8,(E$5*(1-(1/(1+($D$5/C9)^2))^(3/2)))-H$7)</f>
        <v>234.84877078939274</v>
      </c>
      <c r="F9" s="28">
        <f>(E8+E9)/2</f>
        <v>234.84877078939274</v>
      </c>
      <c r="G9" s="28">
        <f>F9*(TAN((45-$D$22/2)*PI()/180))^2</f>
        <v>72.159286798664212</v>
      </c>
      <c r="H9" s="28">
        <f>2*(B9/$C$19)*G9*TAN($B$34*$D$22*PI()/180)</f>
        <v>0</v>
      </c>
      <c r="I9" s="40">
        <f>E9-H9</f>
        <v>234.84877078939274</v>
      </c>
      <c r="J9" s="198"/>
      <c r="K9" s="39" t="s">
        <v>46</v>
      </c>
      <c r="L9" s="194">
        <f>'Metric Units'!$B$19</f>
        <v>49.07100883500631</v>
      </c>
      <c r="M9" s="194" t="s">
        <v>47</v>
      </c>
      <c r="N9" s="193">
        <f>ROUNDUP(B9/0.0254,1)</f>
        <v>0</v>
      </c>
      <c r="O9" s="194" t="str">
        <f t="shared" si="0"/>
        <v>Geoweb Layer 49.0710088350063V0</v>
      </c>
      <c r="P9" s="98" t="str">
        <f>IF(B10=0,CONCATENATE(O9," + ",O15),O9)</f>
        <v>Geoweb Layer 49.0710088350063V0 + Non-woven Geotextile</v>
      </c>
      <c r="Q9" s="194" t="str">
        <f>IF(B9=0," ",P9)</f>
        <v xml:space="preserve"> </v>
      </c>
      <c r="R9" s="196"/>
      <c r="S9" s="98"/>
      <c r="T9" s="98"/>
      <c r="U9" s="98"/>
      <c r="V9" s="98"/>
      <c r="W9" s="98"/>
      <c r="X9" s="98"/>
      <c r="Y9" s="98"/>
      <c r="Z9" s="98"/>
      <c r="AA9" s="98"/>
      <c r="AB9" s="98"/>
      <c r="AC9" s="98"/>
      <c r="AD9" s="98"/>
      <c r="AE9" s="98"/>
    </row>
    <row r="10" spans="1:31" ht="16.5" hidden="1" customHeight="1" x14ac:dyDescent="0.4">
      <c r="A10" s="33" t="s">
        <v>8</v>
      </c>
      <c r="B10" s="34">
        <v>0</v>
      </c>
      <c r="C10" s="28">
        <f t="shared" si="1"/>
        <v>0.3508</v>
      </c>
      <c r="D10" s="28" t="s">
        <v>10</v>
      </c>
      <c r="E10" s="27">
        <f>IF(B10&lt;=0,I$9,(E$5*(1-(1/(1+($D$5/C10)^2))^(3/2)))-H$7-H$9)</f>
        <v>234.84877078939274</v>
      </c>
      <c r="F10" s="37"/>
      <c r="G10" s="37"/>
      <c r="H10" s="37"/>
      <c r="I10" s="38"/>
      <c r="J10" s="198"/>
      <c r="K10" s="42">
        <f>B10</f>
        <v>0</v>
      </c>
      <c r="L10" s="194" t="s">
        <v>120</v>
      </c>
      <c r="M10" s="194" t="s">
        <v>48</v>
      </c>
      <c r="N10" s="193" t="s">
        <v>49</v>
      </c>
      <c r="O10" s="194" t="str">
        <f t="shared" si="0"/>
        <v>0 mm Aggregate Layer</v>
      </c>
      <c r="P10" s="194" t="str">
        <f>IF(K10=0," ",IF(K10=0," ",CONCATENATE(K10,L10,M10," + ",K15,L15)))</f>
        <v xml:space="preserve"> </v>
      </c>
      <c r="Q10" s="98"/>
      <c r="R10" s="196"/>
      <c r="S10" s="98"/>
      <c r="T10" s="98"/>
      <c r="U10" s="98"/>
      <c r="V10" s="98"/>
      <c r="W10" s="98"/>
      <c r="X10" s="98"/>
      <c r="Y10" s="98"/>
      <c r="Z10" s="98"/>
      <c r="AA10" s="98"/>
      <c r="AB10" s="98"/>
      <c r="AC10" s="98"/>
      <c r="AD10" s="98"/>
      <c r="AE10" s="98"/>
    </row>
    <row r="11" spans="1:31" ht="16.5" hidden="1" customHeight="1" x14ac:dyDescent="0.4">
      <c r="A11" s="33" t="s">
        <v>51</v>
      </c>
      <c r="B11" s="34">
        <v>0</v>
      </c>
      <c r="C11" s="28">
        <f t="shared" si="1"/>
        <v>0.3508</v>
      </c>
      <c r="D11" s="28" t="s">
        <v>10</v>
      </c>
      <c r="E11" s="27">
        <f>IF(B11&lt;=0,E$10,(E$5*(1-(1/(1+($D$5/C11)^2))^(3/2)))-H$7-H$9)</f>
        <v>234.84877078939274</v>
      </c>
      <c r="F11" s="28">
        <f>(E10+E11)/2</f>
        <v>234.84877078939274</v>
      </c>
      <c r="G11" s="28">
        <f>F11*(TAN((45-$D$22/2)*PI()/180))^2</f>
        <v>72.159286798664212</v>
      </c>
      <c r="H11" s="28">
        <f>2*(B11/$C$19)*G11*TAN($B$34*$D$22*PI()/180)</f>
        <v>0</v>
      </c>
      <c r="I11" s="40">
        <f>E11-H11</f>
        <v>234.84877078939274</v>
      </c>
      <c r="J11" s="198"/>
      <c r="K11" s="39" t="s">
        <v>46</v>
      </c>
      <c r="L11" s="194">
        <f>'Metric Units'!$B$19</f>
        <v>49.07100883500631</v>
      </c>
      <c r="M11" s="194" t="s">
        <v>47</v>
      </c>
      <c r="N11" s="193">
        <f>B11</f>
        <v>0</v>
      </c>
      <c r="O11" s="194" t="str">
        <f t="shared" si="0"/>
        <v>Geoweb Layer 49.0710088350063V0</v>
      </c>
      <c r="P11" s="194" t="str">
        <f>IF(B11=0," ",O11)</f>
        <v xml:space="preserve"> </v>
      </c>
      <c r="Q11" s="98"/>
      <c r="R11" s="196"/>
      <c r="S11" s="98"/>
      <c r="T11" s="98"/>
      <c r="U11" s="98"/>
      <c r="V11" s="98"/>
      <c r="W11" s="98"/>
      <c r="X11" s="98"/>
      <c r="Y11" s="98"/>
      <c r="Z11" s="98"/>
      <c r="AA11" s="98"/>
      <c r="AB11" s="98"/>
      <c r="AC11" s="98"/>
      <c r="AD11" s="98"/>
      <c r="AE11" s="98"/>
    </row>
    <row r="12" spans="1:31" ht="16.5" hidden="1" customHeight="1" x14ac:dyDescent="0.4">
      <c r="A12" s="33" t="s">
        <v>8</v>
      </c>
      <c r="B12" s="34">
        <v>0</v>
      </c>
      <c r="C12" s="28">
        <f t="shared" si="1"/>
        <v>0.3508</v>
      </c>
      <c r="D12" s="28" t="s">
        <v>10</v>
      </c>
      <c r="E12" s="27">
        <f>IF(B12&lt;=0,I$11,(E$5*(1-(1/(1+($D$5/C12)^2))^(3/2)))-H$7-H$9-H$11)</f>
        <v>234.84877078939274</v>
      </c>
      <c r="F12" s="37"/>
      <c r="G12" s="37"/>
      <c r="H12" s="37"/>
      <c r="I12" s="38"/>
      <c r="J12" s="198"/>
      <c r="K12" s="42">
        <f>B12</f>
        <v>0</v>
      </c>
      <c r="L12" s="194" t="s">
        <v>120</v>
      </c>
      <c r="M12" s="194" t="s">
        <v>48</v>
      </c>
      <c r="N12" s="193" t="s">
        <v>49</v>
      </c>
      <c r="O12" s="194" t="str">
        <f t="shared" si="0"/>
        <v>0 mm Aggregate Layer</v>
      </c>
      <c r="P12" s="194" t="str">
        <f>IF(K10=0," ",IF(K12=0," ",CONCATENATE(K12,L12,M12," + ",K15,L15)))</f>
        <v xml:space="preserve"> </v>
      </c>
      <c r="Q12" s="98"/>
      <c r="R12" s="196"/>
      <c r="S12" s="98"/>
      <c r="T12" s="98"/>
      <c r="U12" s="98"/>
      <c r="V12" s="98"/>
      <c r="W12" s="98"/>
      <c r="X12" s="98"/>
      <c r="Y12" s="98"/>
      <c r="Z12" s="98"/>
      <c r="AA12" s="98"/>
      <c r="AB12" s="98"/>
      <c r="AC12" s="98"/>
      <c r="AD12" s="98"/>
      <c r="AE12" s="98"/>
    </row>
    <row r="13" spans="1:31" ht="16.5" hidden="1" customHeight="1" x14ac:dyDescent="0.4">
      <c r="A13" s="33" t="s">
        <v>52</v>
      </c>
      <c r="B13" s="34">
        <v>0</v>
      </c>
      <c r="C13" s="28">
        <f t="shared" si="1"/>
        <v>0.3508</v>
      </c>
      <c r="D13" s="28" t="s">
        <v>10</v>
      </c>
      <c r="E13" s="27">
        <f>IF(B13&lt;=0,E$12,(E$5*(1-(1/(1+($D$5/C13)^2))^(3/2)))-H$7-H$9-H$11)</f>
        <v>234.84877078939274</v>
      </c>
      <c r="F13" s="28">
        <f>(E12+E13)/2</f>
        <v>234.84877078939274</v>
      </c>
      <c r="G13" s="28">
        <f>F13*(TAN((45-$D$22/2)*PI()/180))^2</f>
        <v>72.159286798664212</v>
      </c>
      <c r="H13" s="28">
        <f>2*(B13/$C$19)*G13*TAN($B$34*$D$22*PI()/180)</f>
        <v>0</v>
      </c>
      <c r="I13" s="40">
        <f>E13-H13</f>
        <v>234.84877078939274</v>
      </c>
      <c r="J13" s="198"/>
      <c r="K13" s="39" t="s">
        <v>46</v>
      </c>
      <c r="L13" s="194">
        <f>'Metric Units'!$B$19</f>
        <v>49.07100883500631</v>
      </c>
      <c r="M13" s="194" t="s">
        <v>47</v>
      </c>
      <c r="N13" s="193">
        <f>B13</f>
        <v>0</v>
      </c>
      <c r="O13" s="194" t="str">
        <f t="shared" si="0"/>
        <v>Geoweb Layer 49.0710088350063V0</v>
      </c>
      <c r="P13" s="194" t="str">
        <f>IF(B13=0," ",O13)</f>
        <v xml:space="preserve"> </v>
      </c>
      <c r="Q13" s="98"/>
      <c r="R13" s="196"/>
      <c r="S13" s="98"/>
      <c r="T13" s="98"/>
      <c r="U13" s="98"/>
      <c r="V13" s="98"/>
      <c r="W13" s="98"/>
      <c r="X13" s="98"/>
      <c r="Y13" s="98"/>
      <c r="Z13" s="98"/>
      <c r="AA13" s="98"/>
      <c r="AB13" s="98"/>
      <c r="AC13" s="98"/>
      <c r="AD13" s="98"/>
      <c r="AE13" s="98"/>
    </row>
    <row r="14" spans="1:31" ht="16.5" hidden="1" customHeight="1" x14ac:dyDescent="0.4">
      <c r="A14" s="33" t="s">
        <v>8</v>
      </c>
      <c r="B14" s="34">
        <v>0</v>
      </c>
      <c r="C14" s="28">
        <f t="shared" si="1"/>
        <v>0.3508</v>
      </c>
      <c r="D14" s="28" t="s">
        <v>10</v>
      </c>
      <c r="E14" s="27">
        <f>IF(B14&lt;=0,I$13,(E$5*(1-(1/(1+($D$5/C14)^2))^(3/2)))-H$7-H$9-H$11-H$13)</f>
        <v>234.84877078939274</v>
      </c>
      <c r="F14" s="37"/>
      <c r="G14" s="37"/>
      <c r="H14" s="37"/>
      <c r="I14" s="38"/>
      <c r="J14" s="198"/>
      <c r="K14" s="42">
        <f>B14</f>
        <v>0</v>
      </c>
      <c r="L14" s="194" t="s">
        <v>120</v>
      </c>
      <c r="M14" s="194" t="s">
        <v>48</v>
      </c>
      <c r="N14" s="193" t="s">
        <v>49</v>
      </c>
      <c r="O14" s="194" t="str">
        <f t="shared" si="0"/>
        <v>0 mm Aggregate Layer</v>
      </c>
      <c r="P14" s="194" t="str">
        <f>IF(K12=0," ",IF(K14=0," ",CONCATENATE(K14,L14,M14," + ",K15,L15)))</f>
        <v xml:space="preserve"> </v>
      </c>
      <c r="Q14" s="98"/>
      <c r="R14" s="196"/>
      <c r="S14" s="98"/>
      <c r="T14" s="98"/>
      <c r="U14" s="98"/>
      <c r="V14" s="98"/>
      <c r="W14" s="98"/>
      <c r="X14" s="98"/>
      <c r="Y14" s="98"/>
      <c r="Z14" s="98"/>
      <c r="AA14" s="98"/>
      <c r="AB14" s="98"/>
      <c r="AC14" s="98"/>
      <c r="AD14" s="98"/>
      <c r="AE14" s="98"/>
    </row>
    <row r="15" spans="1:31" ht="16.5" customHeight="1" x14ac:dyDescent="0.4">
      <c r="A15" s="43" t="s">
        <v>53</v>
      </c>
      <c r="B15" s="44"/>
      <c r="C15" s="45">
        <f ca="1">INDIRECT(ADDRESS(ROW()-1,COLUMN()))</f>
        <v>0.3508</v>
      </c>
      <c r="D15" s="45" t="s">
        <v>10</v>
      </c>
      <c r="E15" s="46">
        <f ca="1">INDIRECT(ADDRESS(ROW()-1,COLUMN()))</f>
        <v>234.84877078939274</v>
      </c>
      <c r="F15" s="47"/>
      <c r="G15" s="47"/>
      <c r="H15" s="47"/>
      <c r="I15" s="48"/>
      <c r="J15" s="98"/>
      <c r="K15" s="193" t="str">
        <f>B35</f>
        <v>Non-woven</v>
      </c>
      <c r="L15" s="39" t="s">
        <v>54</v>
      </c>
      <c r="M15" s="194"/>
      <c r="N15" s="194"/>
      <c r="O15" s="194" t="str">
        <f t="shared" si="0"/>
        <v>Non-woven Geotextile</v>
      </c>
      <c r="P15" s="194" t="str">
        <f>IF(K8=0," ",IF(K10=0," ",IF(K12=0," ",IF(K14=0," ",O15))))</f>
        <v xml:space="preserve"> </v>
      </c>
      <c r="Q15" s="98"/>
      <c r="R15" s="199" t="e">
        <f ca="1">IF(OR(D42&lt;0,D42&gt;1.5),B8-0.025,B8)</f>
        <v>#VALUE!</v>
      </c>
      <c r="S15" s="98">
        <f>MAX(S7:S8)</f>
        <v>0.15</v>
      </c>
      <c r="T15" s="98"/>
      <c r="U15" s="98"/>
      <c r="V15" s="98"/>
      <c r="W15" s="98"/>
      <c r="X15" s="98"/>
      <c r="Y15" s="98"/>
      <c r="Z15" s="98"/>
      <c r="AA15" s="98"/>
      <c r="AB15" s="98"/>
      <c r="AC15" s="98"/>
      <c r="AD15" s="98"/>
      <c r="AE15" s="98"/>
    </row>
    <row r="16" spans="1:31" ht="16.5" hidden="1" customHeight="1" x14ac:dyDescent="0.4">
      <c r="A16" s="49"/>
      <c r="B16" s="293" t="s">
        <v>55</v>
      </c>
      <c r="C16" s="293"/>
      <c r="D16" s="293"/>
      <c r="E16" s="293"/>
      <c r="F16" s="293"/>
      <c r="G16" s="50"/>
      <c r="H16" s="50"/>
      <c r="I16" s="50"/>
      <c r="J16" s="98"/>
      <c r="K16" s="98"/>
      <c r="L16" s="98"/>
      <c r="M16" s="98"/>
      <c r="N16" s="98"/>
      <c r="O16" s="98"/>
      <c r="P16" s="98"/>
      <c r="Q16" s="98"/>
      <c r="R16" s="98"/>
      <c r="S16" s="98"/>
      <c r="T16" s="98"/>
      <c r="U16" s="98"/>
      <c r="V16" s="98"/>
      <c r="W16" s="98"/>
      <c r="X16" s="98"/>
      <c r="Y16" s="98"/>
      <c r="Z16" s="98"/>
      <c r="AA16" s="98"/>
      <c r="AB16" s="98"/>
      <c r="AC16" s="98"/>
      <c r="AD16" s="98"/>
      <c r="AE16" s="98"/>
    </row>
    <row r="17" spans="1:31" ht="16.5" customHeight="1" x14ac:dyDescent="0.4">
      <c r="A17" s="49"/>
      <c r="B17" s="41"/>
      <c r="C17" s="41"/>
      <c r="D17" s="41"/>
      <c r="E17" s="41"/>
      <c r="F17" s="41"/>
      <c r="G17" s="50"/>
      <c r="H17" s="50"/>
      <c r="I17" s="50"/>
      <c r="J17" s="98"/>
      <c r="K17" s="98"/>
      <c r="L17" s="98"/>
      <c r="M17" s="98"/>
      <c r="N17" s="98"/>
      <c r="O17" s="98"/>
      <c r="P17" s="98"/>
      <c r="Q17" s="98"/>
      <c r="R17" s="199" t="e">
        <f ca="1">AVERAGE(R8:R15)</f>
        <v>#VALUE!</v>
      </c>
      <c r="S17" s="98"/>
      <c r="T17" s="98"/>
      <c r="U17" s="98"/>
      <c r="V17" s="98"/>
      <c r="W17" s="98"/>
      <c r="X17" s="98"/>
      <c r="Y17" s="98"/>
      <c r="Z17" s="98"/>
      <c r="AA17" s="98"/>
      <c r="AB17" s="98"/>
      <c r="AC17" s="98"/>
      <c r="AD17" s="98"/>
      <c r="AE17" s="98"/>
    </row>
    <row r="18" spans="1:31" ht="16.5" customHeight="1" thickBot="1" x14ac:dyDescent="0.45">
      <c r="A18" s="51" t="s">
        <v>9</v>
      </c>
      <c r="B18" s="52" t="s">
        <v>56</v>
      </c>
      <c r="C18" s="52" t="s">
        <v>57</v>
      </c>
      <c r="D18" s="52" t="s">
        <v>121</v>
      </c>
      <c r="E18" s="53"/>
      <c r="F18" s="53"/>
      <c r="G18" s="54"/>
      <c r="H18" s="54"/>
      <c r="I18" s="55"/>
      <c r="J18" s="98"/>
      <c r="K18" s="98"/>
      <c r="L18" s="98"/>
      <c r="M18" s="98"/>
      <c r="N18" s="98"/>
      <c r="O18" s="98"/>
      <c r="P18" s="98"/>
      <c r="Q18" s="98"/>
      <c r="R18" s="98"/>
      <c r="S18" s="98"/>
      <c r="T18" s="98"/>
      <c r="U18" s="98"/>
      <c r="V18" s="98"/>
      <c r="W18" s="98"/>
      <c r="X18" s="98"/>
      <c r="Y18" s="98"/>
      <c r="Z18" s="98"/>
      <c r="AA18" s="98"/>
      <c r="AB18" s="98"/>
      <c r="AC18" s="98"/>
      <c r="AD18" s="98"/>
      <c r="AE18" s="98"/>
    </row>
    <row r="19" spans="1:31" ht="16.5" customHeight="1" x14ac:dyDescent="0.4">
      <c r="A19" s="56"/>
      <c r="B19" s="57">
        <f>S20</f>
        <v>49.07100883500631</v>
      </c>
      <c r="C19" s="58" t="str">
        <f>IF(B19="GW20V",0.19,IF(B19="GW30V",0.24,"1"))</f>
        <v>1</v>
      </c>
      <c r="D19" s="59">
        <f>+B7</f>
        <v>0.15</v>
      </c>
      <c r="E19" s="60"/>
      <c r="F19" s="60"/>
      <c r="G19" s="61"/>
      <c r="H19" s="61"/>
      <c r="I19" s="62"/>
      <c r="J19" s="98"/>
      <c r="K19" s="98"/>
      <c r="L19" s="98"/>
      <c r="M19" s="98"/>
      <c r="N19" s="98"/>
      <c r="O19" s="98"/>
      <c r="P19" s="98"/>
      <c r="Q19" s="98"/>
      <c r="R19" s="98"/>
      <c r="S19" s="98"/>
      <c r="T19" s="98"/>
      <c r="U19" s="98"/>
      <c r="V19" s="98"/>
      <c r="W19" s="98"/>
      <c r="X19" s="98"/>
      <c r="Y19" s="98"/>
      <c r="Z19" s="98"/>
      <c r="AA19" s="98"/>
      <c r="AB19" s="98"/>
      <c r="AC19" s="98"/>
      <c r="AD19" s="98"/>
      <c r="AE19" s="98"/>
    </row>
    <row r="20" spans="1:31" ht="16.5" customHeight="1" x14ac:dyDescent="0.4">
      <c r="A20" s="49"/>
      <c r="B20" s="41"/>
      <c r="C20" s="41"/>
      <c r="D20" s="41"/>
      <c r="E20" s="41"/>
      <c r="F20" s="41"/>
      <c r="G20" s="50"/>
      <c r="H20" s="50"/>
      <c r="I20" s="50"/>
      <c r="J20" s="98"/>
      <c r="K20" s="98"/>
      <c r="L20" s="98"/>
      <c r="M20" s="98"/>
      <c r="N20" s="98"/>
      <c r="O20" s="98"/>
      <c r="P20" s="98"/>
      <c r="Q20" s="98"/>
      <c r="R20" s="98">
        <f>'Construction Mat'!C21</f>
        <v>49.07100883500631</v>
      </c>
      <c r="S20" s="98">
        <f>IF(R20="","GW30V",R20)</f>
        <v>49.07100883500631</v>
      </c>
      <c r="T20" s="98"/>
      <c r="U20" s="98"/>
      <c r="V20" s="98"/>
      <c r="W20" s="98"/>
      <c r="X20" s="98"/>
      <c r="Y20" s="98"/>
      <c r="Z20" s="98"/>
      <c r="AA20" s="98"/>
      <c r="AB20" s="98"/>
      <c r="AC20" s="98"/>
      <c r="AD20" s="98"/>
      <c r="AE20" s="98"/>
    </row>
    <row r="21" spans="1:31" ht="39" customHeight="1" thickBot="1" x14ac:dyDescent="0.45">
      <c r="A21" s="63" t="s">
        <v>59</v>
      </c>
      <c r="B21" s="52" t="s">
        <v>25</v>
      </c>
      <c r="C21" s="52" t="s">
        <v>122</v>
      </c>
      <c r="D21" s="52" t="s">
        <v>61</v>
      </c>
      <c r="E21" s="52" t="s">
        <v>123</v>
      </c>
      <c r="F21" s="53"/>
      <c r="G21" s="54"/>
      <c r="H21" s="54"/>
      <c r="I21" s="55"/>
      <c r="J21" s="98"/>
      <c r="K21" s="98"/>
      <c r="L21" s="98"/>
      <c r="M21" s="98"/>
      <c r="N21" s="98"/>
      <c r="O21" s="98"/>
      <c r="P21" s="98"/>
      <c r="Q21" s="98"/>
      <c r="R21" s="98"/>
      <c r="S21" s="98"/>
      <c r="T21" s="98"/>
      <c r="U21" s="98"/>
      <c r="V21" s="98"/>
      <c r="W21" s="98"/>
      <c r="X21" s="98"/>
      <c r="Y21" s="98"/>
      <c r="Z21" s="98"/>
      <c r="AA21" s="98"/>
      <c r="AB21" s="98"/>
      <c r="AC21" s="98"/>
      <c r="AD21" s="98"/>
      <c r="AE21" s="98"/>
    </row>
    <row r="22" spans="1:31" x14ac:dyDescent="0.4">
      <c r="A22" s="64" t="s">
        <v>63</v>
      </c>
      <c r="B22" s="164">
        <f>'Construction Mat'!C20</f>
        <v>84</v>
      </c>
      <c r="C22" s="137">
        <v>1762.0306</v>
      </c>
      <c r="D22" s="137">
        <v>32</v>
      </c>
      <c r="E22" s="141"/>
      <c r="F22" s="165"/>
      <c r="G22" s="140"/>
      <c r="H22" s="140"/>
      <c r="I22" s="144"/>
      <c r="J22" s="98"/>
      <c r="K22" s="98"/>
      <c r="L22" s="98"/>
      <c r="M22" s="98"/>
      <c r="N22" s="98"/>
      <c r="O22" s="98"/>
      <c r="P22" s="98"/>
      <c r="Q22" s="98"/>
      <c r="R22" s="98"/>
      <c r="S22" s="98"/>
      <c r="T22" s="98"/>
      <c r="U22" s="98"/>
      <c r="V22" s="98"/>
      <c r="W22" s="98"/>
      <c r="X22" s="98"/>
      <c r="Y22" s="98"/>
      <c r="Z22" s="98"/>
      <c r="AA22" s="98"/>
      <c r="AB22" s="98"/>
      <c r="AC22" s="98"/>
      <c r="AD22" s="98"/>
      <c r="AE22" s="98"/>
    </row>
    <row r="23" spans="1:31" x14ac:dyDescent="0.4">
      <c r="A23" s="43"/>
      <c r="B23" s="166"/>
      <c r="C23" s="167"/>
      <c r="D23" s="167"/>
      <c r="E23" s="168">
        <f ca="1">C22*C15*9.80665/1000</f>
        <v>6.061689778128291</v>
      </c>
      <c r="F23" s="169"/>
      <c r="G23" s="159"/>
      <c r="H23" s="159"/>
      <c r="I23" s="170"/>
      <c r="J23" s="98"/>
      <c r="K23" s="98"/>
      <c r="L23" s="98"/>
      <c r="M23" s="98"/>
      <c r="N23" s="98"/>
      <c r="O23" s="98"/>
      <c r="P23" s="98"/>
      <c r="Q23" s="98"/>
      <c r="R23" s="98"/>
      <c r="S23" s="98"/>
      <c r="T23" s="98"/>
      <c r="U23" s="98"/>
      <c r="V23" s="98"/>
      <c r="W23" s="98"/>
      <c r="X23" s="98"/>
      <c r="Y23" s="98"/>
      <c r="Z23" s="98"/>
      <c r="AA23" s="98"/>
      <c r="AB23" s="98"/>
      <c r="AC23" s="98"/>
      <c r="AD23" s="98"/>
      <c r="AE23" s="98"/>
    </row>
    <row r="24" spans="1:31" ht="16.5" customHeight="1" x14ac:dyDescent="0.4">
      <c r="A24" s="49"/>
      <c r="B24" s="171"/>
      <c r="C24" s="171"/>
      <c r="D24" s="171"/>
      <c r="E24" s="172"/>
      <c r="F24" s="173" t="s">
        <v>10</v>
      </c>
      <c r="G24" s="173"/>
      <c r="H24" s="173"/>
      <c r="I24" s="173"/>
      <c r="J24" s="98"/>
      <c r="K24" s="98"/>
      <c r="L24" s="98"/>
      <c r="M24" s="98"/>
      <c r="N24" s="98"/>
      <c r="O24" s="98"/>
      <c r="P24" s="98"/>
      <c r="Q24" s="98"/>
      <c r="R24" s="98"/>
      <c r="S24" s="98"/>
      <c r="T24" s="98"/>
      <c r="U24" s="98"/>
      <c r="V24" s="98"/>
      <c r="W24" s="98"/>
      <c r="X24" s="98"/>
      <c r="Y24" s="98"/>
      <c r="Z24" s="98"/>
      <c r="AA24" s="98"/>
      <c r="AB24" s="98"/>
      <c r="AC24" s="98"/>
      <c r="AD24" s="98"/>
      <c r="AE24" s="98"/>
    </row>
    <row r="25" spans="1:31" ht="37.200000000000003" thickBot="1" x14ac:dyDescent="0.45">
      <c r="A25" s="63" t="s">
        <v>64</v>
      </c>
      <c r="B25" s="174" t="s">
        <v>124</v>
      </c>
      <c r="C25" s="174" t="s">
        <v>122</v>
      </c>
      <c r="D25" s="174" t="s">
        <v>125</v>
      </c>
      <c r="E25" s="174" t="s">
        <v>126</v>
      </c>
      <c r="F25" s="175"/>
      <c r="G25" s="174" t="s">
        <v>68</v>
      </c>
      <c r="H25" s="174" t="s">
        <v>69</v>
      </c>
      <c r="I25" s="176"/>
      <c r="J25" s="98"/>
      <c r="K25" s="98"/>
      <c r="L25" s="98"/>
      <c r="M25" s="98"/>
      <c r="N25" s="98"/>
      <c r="O25" s="98"/>
      <c r="P25" s="98"/>
      <c r="Q25" s="98"/>
      <c r="R25" s="98"/>
      <c r="S25" s="98"/>
      <c r="T25" s="98"/>
      <c r="U25" s="98"/>
      <c r="V25" s="98"/>
      <c r="W25" s="98"/>
      <c r="X25" s="98"/>
      <c r="Y25" s="98"/>
      <c r="Z25" s="98"/>
      <c r="AA25" s="98"/>
      <c r="AB25" s="98"/>
      <c r="AC25" s="98"/>
      <c r="AD25" s="98"/>
      <c r="AE25" s="98"/>
    </row>
    <row r="26" spans="1:31" ht="16.5" customHeight="1" x14ac:dyDescent="0.4">
      <c r="A26" s="25" t="s">
        <v>70</v>
      </c>
      <c r="B26" s="138">
        <f>+SUM(B6:B14)</f>
        <v>0.3508</v>
      </c>
      <c r="C26" s="139">
        <v>0</v>
      </c>
      <c r="D26" s="140"/>
      <c r="E26" s="140"/>
      <c r="F26" s="173"/>
      <c r="G26" s="173"/>
      <c r="H26" s="173"/>
      <c r="I26" s="177"/>
      <c r="J26" s="98"/>
      <c r="K26" s="98"/>
      <c r="L26" s="98"/>
      <c r="M26" s="98"/>
      <c r="N26" s="98"/>
      <c r="O26" s="98"/>
      <c r="P26" s="98"/>
      <c r="Q26" s="98"/>
      <c r="R26" s="98"/>
      <c r="S26" s="98"/>
      <c r="T26" s="98"/>
      <c r="U26" s="98"/>
      <c r="V26" s="98"/>
      <c r="W26" s="98"/>
      <c r="X26" s="98"/>
      <c r="Y26" s="98"/>
      <c r="Z26" s="98"/>
      <c r="AA26" s="98"/>
      <c r="AB26" s="98"/>
      <c r="AC26" s="98"/>
      <c r="AD26" s="98"/>
      <c r="AE26" s="98"/>
    </row>
    <row r="27" spans="1:31" ht="16.5" customHeight="1" x14ac:dyDescent="0.4">
      <c r="A27" s="33" t="s">
        <v>71</v>
      </c>
      <c r="B27" s="141"/>
      <c r="C27" s="141"/>
      <c r="D27" s="135" t="str">
        <f>IF('Construction Mat'!C15="Undrained Shear Strength",'Construction Mat'!C16,IF('Construction Mat'!C15="CBR",'Construction Mat'!C16*29.85,""))</f>
        <v/>
      </c>
      <c r="E27" s="151"/>
      <c r="F27" s="152"/>
      <c r="G27" s="151" t="e">
        <f>$D$27/2985</f>
        <v>#VALUE!</v>
      </c>
      <c r="H27" s="153" t="e">
        <f>19.917*LN(G27 *100) - 3.9928</f>
        <v>#VALUE!</v>
      </c>
      <c r="I27" s="178"/>
      <c r="J27" s="98"/>
      <c r="K27" s="98"/>
      <c r="L27" s="98"/>
      <c r="M27" s="98"/>
      <c r="N27" s="98"/>
      <c r="O27" s="98"/>
      <c r="P27" s="98"/>
      <c r="Q27" s="98"/>
      <c r="R27" s="98"/>
      <c r="S27" s="98"/>
      <c r="T27" s="98"/>
      <c r="U27" s="98"/>
      <c r="V27" s="98"/>
      <c r="W27" s="98"/>
      <c r="X27" s="98"/>
      <c r="Y27" s="98"/>
      <c r="Z27" s="98"/>
      <c r="AA27" s="98"/>
      <c r="AB27" s="98"/>
      <c r="AC27" s="98"/>
      <c r="AD27" s="98"/>
      <c r="AE27" s="98"/>
    </row>
    <row r="28" spans="1:31" ht="16.5" customHeight="1" x14ac:dyDescent="0.4">
      <c r="A28" s="43"/>
      <c r="B28" s="179"/>
      <c r="C28" s="180"/>
      <c r="D28" s="159"/>
      <c r="E28" s="181">
        <f>-B26*C26*9.80665</f>
        <v>0</v>
      </c>
      <c r="F28" s="182"/>
      <c r="G28" s="182"/>
      <c r="H28" s="182"/>
      <c r="I28" s="183"/>
      <c r="J28" s="98"/>
      <c r="K28" s="98"/>
      <c r="L28" s="98"/>
      <c r="M28" s="98"/>
      <c r="N28" s="98"/>
      <c r="O28" s="98"/>
      <c r="P28" s="98"/>
      <c r="Q28" s="98"/>
      <c r="R28" s="98"/>
      <c r="S28" s="98"/>
      <c r="T28" s="98"/>
      <c r="U28" s="98"/>
      <c r="V28" s="98"/>
      <c r="W28" s="98"/>
      <c r="X28" s="98"/>
      <c r="Y28" s="98"/>
      <c r="Z28" s="98"/>
      <c r="AA28" s="98"/>
      <c r="AB28" s="98"/>
      <c r="AC28" s="98"/>
      <c r="AD28" s="98"/>
      <c r="AE28" s="98"/>
    </row>
    <row r="29" spans="1:31" ht="16.5" customHeight="1" x14ac:dyDescent="0.4">
      <c r="A29" s="49"/>
      <c r="B29" s="184"/>
      <c r="C29" s="185"/>
      <c r="D29" s="186"/>
      <c r="E29" s="186"/>
      <c r="F29" s="173"/>
      <c r="G29" s="173"/>
      <c r="H29" s="173"/>
      <c r="I29" s="173"/>
      <c r="J29" s="98"/>
      <c r="K29" s="98"/>
      <c r="L29" s="98"/>
      <c r="M29" s="98"/>
      <c r="N29" s="98"/>
      <c r="O29" s="98"/>
      <c r="P29" s="98"/>
      <c r="Q29" s="98"/>
      <c r="R29" s="98"/>
      <c r="S29" s="98"/>
      <c r="T29" s="98"/>
      <c r="U29" s="98"/>
      <c r="V29" s="98"/>
      <c r="W29" s="98"/>
      <c r="X29" s="98"/>
      <c r="Y29" s="98"/>
      <c r="Z29" s="98"/>
      <c r="AA29" s="98"/>
      <c r="AB29" s="98"/>
      <c r="AC29" s="98"/>
      <c r="AD29" s="98"/>
      <c r="AE29" s="98"/>
    </row>
    <row r="30" spans="1:31" s="90" customFormat="1" ht="16.5" customHeight="1" thickBot="1" x14ac:dyDescent="0.45">
      <c r="A30" s="86" t="s">
        <v>72</v>
      </c>
      <c r="B30" s="187"/>
      <c r="C30" s="188"/>
      <c r="D30" s="188"/>
      <c r="E30" s="188"/>
      <c r="F30" s="188"/>
      <c r="G30" s="188"/>
      <c r="H30" s="188"/>
      <c r="I30" s="189"/>
      <c r="J30" s="195"/>
      <c r="K30" s="195"/>
      <c r="L30" s="195"/>
      <c r="M30" s="195"/>
      <c r="N30" s="195"/>
      <c r="O30" s="195"/>
      <c r="P30" s="195"/>
      <c r="Q30" s="195"/>
      <c r="R30" s="195"/>
      <c r="S30" s="195"/>
      <c r="T30" s="195"/>
      <c r="U30" s="195"/>
      <c r="V30" s="195"/>
      <c r="W30" s="195"/>
      <c r="X30" s="195"/>
      <c r="Y30" s="195"/>
      <c r="Z30" s="195"/>
      <c r="AA30" s="195"/>
      <c r="AB30" s="195"/>
      <c r="AC30" s="195"/>
      <c r="AD30" s="195"/>
      <c r="AE30" s="195"/>
    </row>
    <row r="31" spans="1:31" ht="16.5" customHeight="1" x14ac:dyDescent="0.4">
      <c r="A31" s="33" t="s">
        <v>127</v>
      </c>
      <c r="B31" s="143">
        <f>'Construction Mat'!C14</f>
        <v>110</v>
      </c>
      <c r="C31" s="294" t="str">
        <f>CONCATENATE('Construction Mat'!C9," ",'Construction Mat'!C11," Access")</f>
        <v>H-15 Light Fire  Truck or Medium Construction Equipment Access</v>
      </c>
      <c r="D31" s="294"/>
      <c r="E31" s="294"/>
      <c r="F31" s="294"/>
      <c r="G31" s="294"/>
      <c r="H31" s="294"/>
      <c r="I31" s="144" t="s">
        <v>10</v>
      </c>
      <c r="J31" s="98"/>
      <c r="K31" s="98"/>
      <c r="L31" s="98"/>
      <c r="M31" s="98"/>
      <c r="N31" s="98"/>
      <c r="O31" s="98"/>
      <c r="P31" s="98"/>
      <c r="Q31" s="98"/>
      <c r="R31" s="98"/>
      <c r="S31" s="98"/>
      <c r="T31" s="98"/>
      <c r="U31" s="98"/>
      <c r="V31" s="98"/>
      <c r="W31" s="98"/>
      <c r="X31" s="98"/>
      <c r="Y31" s="98"/>
      <c r="Z31" s="98"/>
      <c r="AA31" s="98"/>
      <c r="AB31" s="98"/>
      <c r="AC31" s="98"/>
      <c r="AD31" s="98"/>
      <c r="AE31" s="98"/>
    </row>
    <row r="32" spans="1:31" ht="16.5" customHeight="1" x14ac:dyDescent="0.4">
      <c r="A32" s="33" t="s">
        <v>128</v>
      </c>
      <c r="B32" s="139">
        <f>'Construction Mat'!C12</f>
        <v>586</v>
      </c>
      <c r="C32" s="140"/>
      <c r="D32" s="140"/>
      <c r="E32" s="140"/>
      <c r="F32" s="140"/>
      <c r="G32" s="140"/>
      <c r="H32" s="140"/>
      <c r="I32" s="144"/>
    </row>
    <row r="33" spans="1:13" ht="16.5" customHeight="1" x14ac:dyDescent="0.4">
      <c r="A33" s="33" t="s">
        <v>75</v>
      </c>
      <c r="B33" s="145">
        <f>IF(I33&gt;0,I33,ATAN(D33/F33)*180/PI())</f>
        <v>45</v>
      </c>
      <c r="C33" s="146" t="s">
        <v>76</v>
      </c>
      <c r="D33" s="147">
        <v>0</v>
      </c>
      <c r="E33" s="146" t="s">
        <v>77</v>
      </c>
      <c r="F33" s="147">
        <v>0</v>
      </c>
      <c r="G33" s="148" t="s">
        <v>78</v>
      </c>
      <c r="H33" s="146" t="s">
        <v>79</v>
      </c>
      <c r="I33" s="149">
        <v>45</v>
      </c>
    </row>
    <row r="34" spans="1:13" ht="16.5" customHeight="1" x14ac:dyDescent="0.4">
      <c r="A34" s="33" t="s">
        <v>80</v>
      </c>
      <c r="B34" s="150">
        <v>0.95</v>
      </c>
      <c r="C34" s="140"/>
      <c r="D34" s="140"/>
      <c r="E34" s="140"/>
      <c r="F34" s="140"/>
      <c r="G34" s="140"/>
      <c r="H34" s="140"/>
      <c r="I34" s="144"/>
    </row>
    <row r="35" spans="1:13" ht="16.5" customHeight="1" x14ac:dyDescent="0.4">
      <c r="A35" s="33" t="s">
        <v>81</v>
      </c>
      <c r="B35" s="142" t="s">
        <v>131</v>
      </c>
      <c r="C35" s="151"/>
      <c r="D35" s="152"/>
      <c r="E35" s="151"/>
      <c r="F35" s="152"/>
      <c r="G35" s="153"/>
      <c r="H35" s="154"/>
      <c r="I35" s="155"/>
    </row>
    <row r="36" spans="1:13" ht="16.5" customHeight="1" x14ac:dyDescent="0.4">
      <c r="A36" s="33" t="s">
        <v>82</v>
      </c>
      <c r="B36" s="156">
        <v>5.7</v>
      </c>
      <c r="C36" s="157" t="str">
        <f>IF(B36&lt;2.8,"2.80 is generally the minimum.","")</f>
        <v/>
      </c>
      <c r="D36" s="135">
        <v>2.8</v>
      </c>
      <c r="E36" s="157"/>
      <c r="F36" s="295"/>
      <c r="G36" s="295"/>
      <c r="H36" s="295"/>
      <c r="I36" s="296"/>
    </row>
    <row r="37" spans="1:13" ht="16.5" customHeight="1" x14ac:dyDescent="0.4">
      <c r="A37" s="43" t="s">
        <v>83</v>
      </c>
      <c r="B37" s="158">
        <v>1.3</v>
      </c>
      <c r="C37" s="159"/>
      <c r="D37" s="160"/>
      <c r="E37" s="161"/>
      <c r="F37" s="162"/>
      <c r="G37" s="162"/>
      <c r="H37" s="162"/>
      <c r="I37" s="163"/>
    </row>
    <row r="38" spans="1:13" ht="16.5" customHeight="1" x14ac:dyDescent="0.4">
      <c r="A38" s="291"/>
      <c r="B38" s="291"/>
      <c r="C38" s="291"/>
      <c r="D38" s="291"/>
      <c r="E38" s="291"/>
      <c r="F38" s="291"/>
      <c r="G38" s="291"/>
      <c r="H38" s="291"/>
      <c r="I38" s="291"/>
      <c r="K38" s="92"/>
      <c r="L38" s="92"/>
      <c r="M38" s="92"/>
    </row>
    <row r="39" spans="1:13" ht="16.5" customHeight="1" thickBot="1" x14ac:dyDescent="0.45">
      <c r="A39" s="129" t="s">
        <v>84</v>
      </c>
      <c r="B39" s="94"/>
      <c r="C39" s="94"/>
      <c r="D39" s="94"/>
      <c r="E39" s="94"/>
      <c r="F39" s="94"/>
      <c r="G39" s="94"/>
      <c r="H39" s="94"/>
      <c r="I39" s="95"/>
      <c r="K39" s="92"/>
      <c r="L39" s="92"/>
      <c r="M39" s="92"/>
    </row>
    <row r="40" spans="1:13" ht="16.5" customHeight="1" x14ac:dyDescent="0.4">
      <c r="A40" s="297" t="s">
        <v>129</v>
      </c>
      <c r="B40" s="298"/>
      <c r="C40" s="96"/>
      <c r="D40" s="97">
        <f ca="1">E15+E23+E28</f>
        <v>240.91046056752103</v>
      </c>
      <c r="E40" s="72"/>
      <c r="F40" s="72"/>
      <c r="G40" s="65"/>
      <c r="H40" s="72"/>
      <c r="I40" s="73"/>
      <c r="K40" s="98"/>
      <c r="L40" s="99"/>
      <c r="M40" s="92"/>
    </row>
    <row r="41" spans="1:13" ht="16.5" customHeight="1" x14ac:dyDescent="0.4">
      <c r="A41" s="297" t="s">
        <v>130</v>
      </c>
      <c r="B41" s="298"/>
      <c r="C41" s="28"/>
      <c r="D41" s="100" t="e">
        <f>D27*B36</f>
        <v>#VALUE!</v>
      </c>
      <c r="E41" s="72"/>
      <c r="F41" s="72"/>
      <c r="G41" s="65"/>
      <c r="H41" s="72"/>
      <c r="I41" s="73"/>
      <c r="K41" s="98"/>
      <c r="M41" s="92"/>
    </row>
    <row r="42" spans="1:13" ht="16.5" customHeight="1" x14ac:dyDescent="0.4">
      <c r="A42" s="101" t="s">
        <v>87</v>
      </c>
      <c r="B42" s="102"/>
      <c r="C42" s="45"/>
      <c r="D42" s="103" t="e">
        <f ca="1">D41/D40</f>
        <v>#VALUE!</v>
      </c>
      <c r="E42" s="299" t="e">
        <f ca="1">IF(D42&lt;1,"Change Configuration",(IF(D42&lt;B37,"Design Potentially Good with Factor of Safety","Acceptable Design")))</f>
        <v>#VALUE!</v>
      </c>
      <c r="F42" s="299"/>
      <c r="G42" s="91"/>
      <c r="H42" s="104"/>
      <c r="I42" s="105"/>
      <c r="K42" s="106"/>
      <c r="M42" s="92"/>
    </row>
    <row r="43" spans="1:13" ht="16.5" hidden="1" customHeight="1" x14ac:dyDescent="0.4">
      <c r="A43" s="107" t="s">
        <v>88</v>
      </c>
      <c r="B43" s="91"/>
      <c r="C43" s="108" t="e">
        <f>$D$5/((1/(1-$D$36*$D$27/$B$32)^(2/3))-1)^(1/2)</f>
        <v>#VALUE!</v>
      </c>
      <c r="D43" s="109" t="e">
        <f ca="1">C15/C43*100</f>
        <v>#VALUE!</v>
      </c>
      <c r="E43" s="91"/>
      <c r="F43" s="91"/>
      <c r="G43" s="91"/>
      <c r="H43" s="91"/>
      <c r="I43" s="110"/>
      <c r="K43" s="106"/>
      <c r="M43" s="92"/>
    </row>
    <row r="44" spans="1:13" ht="16.5" customHeight="1" x14ac:dyDescent="0.4">
      <c r="A44" s="111"/>
      <c r="B44" s="112"/>
      <c r="C44" s="85"/>
      <c r="D44" s="85"/>
      <c r="E44" s="85"/>
      <c r="F44" s="85"/>
      <c r="G44" s="85"/>
      <c r="H44" s="85"/>
      <c r="I44" s="85"/>
      <c r="K44" s="106"/>
      <c r="M44" s="92"/>
    </row>
    <row r="45" spans="1:13" ht="16.5" customHeight="1" x14ac:dyDescent="0.4">
      <c r="A45" s="291"/>
      <c r="B45" s="291"/>
      <c r="C45" s="291"/>
      <c r="D45" s="291"/>
      <c r="E45" s="291"/>
      <c r="F45" s="291"/>
      <c r="G45" s="291"/>
      <c r="H45" s="291"/>
      <c r="I45" s="291"/>
    </row>
    <row r="46" spans="1:13" ht="13.2" customHeight="1" x14ac:dyDescent="0.5">
      <c r="A46" s="113" t="s">
        <v>89</v>
      </c>
    </row>
    <row r="47" spans="1:13" ht="12.75" customHeight="1" x14ac:dyDescent="0.5">
      <c r="A47" s="115"/>
    </row>
    <row r="48" spans="1:13" ht="60" customHeight="1" x14ac:dyDescent="0.4">
      <c r="A48" s="292" t="s">
        <v>90</v>
      </c>
      <c r="B48" s="292"/>
      <c r="C48" s="292"/>
      <c r="D48" s="292"/>
      <c r="E48" s="292"/>
      <c r="F48" s="292"/>
      <c r="G48" s="292"/>
      <c r="H48" s="292"/>
      <c r="I48" s="292"/>
    </row>
    <row r="49" spans="1:9" ht="48.75" customHeight="1" x14ac:dyDescent="0.4">
      <c r="A49" s="292" t="s">
        <v>10</v>
      </c>
      <c r="B49" s="292"/>
      <c r="C49" s="292"/>
      <c r="D49" s="292"/>
      <c r="E49" s="292"/>
      <c r="F49" s="292"/>
      <c r="G49" s="292"/>
      <c r="H49" s="292"/>
      <c r="I49" s="292"/>
    </row>
    <row r="50" spans="1:9" ht="15" x14ac:dyDescent="0.5">
      <c r="A50" s="116"/>
    </row>
    <row r="51" spans="1:9" ht="15" x14ac:dyDescent="0.5">
      <c r="A51" s="116"/>
    </row>
  </sheetData>
  <sheetProtection sheet="1" objects="1" scenarios="1"/>
  <mergeCells count="18">
    <mergeCell ref="E42:F42"/>
    <mergeCell ref="A45:I45"/>
    <mergeCell ref="A48:I48"/>
    <mergeCell ref="A49:I49"/>
    <mergeCell ref="B16:F16"/>
    <mergeCell ref="C31:H31"/>
    <mergeCell ref="F36:I36"/>
    <mergeCell ref="A38:I38"/>
    <mergeCell ref="A40:B40"/>
    <mergeCell ref="A41:B41"/>
    <mergeCell ref="B1:I1"/>
    <mergeCell ref="B2:G2"/>
    <mergeCell ref="A3:A4"/>
    <mergeCell ref="B3:B4"/>
    <mergeCell ref="C3:C4"/>
    <mergeCell ref="D3:D4"/>
    <mergeCell ref="E3:E4"/>
    <mergeCell ref="F3:I3"/>
  </mergeCells>
  <conditionalFormatting sqref="B8">
    <cfRule type="expression" dxfId="0" priority="1">
      <formula>$D$42&lt;$B$37</formula>
    </cfRule>
  </conditionalFormatting>
  <printOptions horizontalCentered="1"/>
  <pageMargins left="0.75" right="0.75" top="1" bottom="1" header="0.5" footer="0.5"/>
  <pageSetup scale="71" orientation="portrait" horizontalDpi="4294967293" verticalDpi="1200" r:id="rId1"/>
  <headerFooter alignWithMargins="0">
    <oddFooter>&amp;L&amp;D&amp;RPage &amp;P of &amp;N</oddFooter>
  </headerFooter>
  <drawing r:id="rId2"/>
  <legacyDrawing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Data!$U$3:$U$4</xm:f>
          </x14:formula1>
          <xm:sqref>B35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0"/>
  <sheetViews>
    <sheetView workbookViewId="0">
      <selection activeCell="N28" sqref="N28"/>
    </sheetView>
  </sheetViews>
  <sheetFormatPr defaultRowHeight="14.4" x14ac:dyDescent="0.55000000000000004"/>
  <cols>
    <col min="10" max="10" width="12.3125" customWidth="1"/>
    <col min="11" max="11" width="10.1015625" customWidth="1"/>
    <col min="12" max="12" width="12.1015625" customWidth="1"/>
  </cols>
  <sheetData>
    <row r="1" spans="1:21" ht="20.100000000000001" x14ac:dyDescent="0.55000000000000004">
      <c r="A1" s="281" t="s">
        <v>91</v>
      </c>
      <c r="B1" s="281"/>
      <c r="C1" s="281"/>
      <c r="D1" s="281"/>
      <c r="E1" s="281"/>
      <c r="F1" s="281"/>
      <c r="G1" s="281"/>
      <c r="H1" s="281"/>
      <c r="I1" s="281"/>
      <c r="J1" s="281"/>
      <c r="K1" s="281"/>
    </row>
    <row r="2" spans="1:21" x14ac:dyDescent="0.55000000000000004">
      <c r="A2" s="301" t="s">
        <v>92</v>
      </c>
      <c r="B2" s="301"/>
      <c r="C2" s="301"/>
      <c r="D2" s="119"/>
      <c r="E2" s="301" t="s">
        <v>93</v>
      </c>
      <c r="F2" s="301"/>
      <c r="G2" s="301"/>
      <c r="H2" s="119"/>
      <c r="I2" s="301" t="s">
        <v>94</v>
      </c>
      <c r="J2" s="301"/>
      <c r="K2" s="301"/>
      <c r="M2" t="s">
        <v>110</v>
      </c>
      <c r="N2" t="s">
        <v>0</v>
      </c>
      <c r="O2" t="s">
        <v>5</v>
      </c>
      <c r="P2" t="s">
        <v>111</v>
      </c>
      <c r="Q2" t="s">
        <v>6</v>
      </c>
      <c r="R2" t="s">
        <v>26</v>
      </c>
      <c r="S2" t="s">
        <v>145</v>
      </c>
      <c r="U2" t="s">
        <v>53</v>
      </c>
    </row>
    <row r="3" spans="1:21" x14ac:dyDescent="0.55000000000000004">
      <c r="A3" s="120"/>
      <c r="B3" s="120"/>
      <c r="C3" s="120"/>
      <c r="D3" s="121"/>
      <c r="E3" s="120"/>
      <c r="F3" s="120"/>
      <c r="G3" s="120"/>
      <c r="H3" s="122"/>
      <c r="I3" s="122"/>
      <c r="J3" s="122"/>
      <c r="K3" s="122"/>
      <c r="M3" t="s">
        <v>14</v>
      </c>
      <c r="N3" t="s">
        <v>1</v>
      </c>
      <c r="O3" t="s">
        <v>16</v>
      </c>
      <c r="P3" t="s">
        <v>23</v>
      </c>
      <c r="Q3" t="s">
        <v>7</v>
      </c>
      <c r="R3" t="s">
        <v>140</v>
      </c>
      <c r="S3" t="s">
        <v>163</v>
      </c>
      <c r="U3" t="s">
        <v>165</v>
      </c>
    </row>
    <row r="4" spans="1:21" x14ac:dyDescent="0.55000000000000004">
      <c r="A4" s="123" t="s">
        <v>95</v>
      </c>
      <c r="B4" s="123" t="s">
        <v>96</v>
      </c>
      <c r="C4" s="123" t="s">
        <v>97</v>
      </c>
      <c r="D4" s="124"/>
      <c r="E4" s="123" t="s">
        <v>97</v>
      </c>
      <c r="F4" s="123" t="s">
        <v>96</v>
      </c>
      <c r="G4" s="123" t="s">
        <v>95</v>
      </c>
      <c r="H4" s="125"/>
      <c r="I4" s="123" t="s">
        <v>98</v>
      </c>
      <c r="J4" s="123" t="s">
        <v>96</v>
      </c>
      <c r="K4" s="123" t="s">
        <v>99</v>
      </c>
      <c r="M4" t="s">
        <v>15</v>
      </c>
      <c r="N4" t="s">
        <v>2</v>
      </c>
      <c r="P4" t="s">
        <v>24</v>
      </c>
      <c r="Q4" t="s">
        <v>8</v>
      </c>
      <c r="R4" s="211" t="s">
        <v>141</v>
      </c>
      <c r="S4" t="s">
        <v>164</v>
      </c>
      <c r="U4" t="s">
        <v>131</v>
      </c>
    </row>
    <row r="5" spans="1:21" x14ac:dyDescent="0.55000000000000004">
      <c r="A5" s="126">
        <v>6</v>
      </c>
      <c r="B5" s="127">
        <v>2.5399999999999999E-2</v>
      </c>
      <c r="C5" s="128">
        <f>A5*B5</f>
        <v>0.15239999999999998</v>
      </c>
      <c r="D5" s="127"/>
      <c r="E5" s="126">
        <v>0.1</v>
      </c>
      <c r="F5" s="127">
        <f>1/B5</f>
        <v>39.370078740157481</v>
      </c>
      <c r="G5" s="128">
        <f>E5*F5</f>
        <v>3.9370078740157481</v>
      </c>
      <c r="H5" s="118"/>
      <c r="I5" s="126">
        <v>11600</v>
      </c>
      <c r="J5" s="127">
        <v>9.8066500000000001E-3</v>
      </c>
      <c r="K5" s="128">
        <f>I5*J5</f>
        <v>113.75714000000001</v>
      </c>
      <c r="N5" t="s">
        <v>3</v>
      </c>
      <c r="R5" s="211" t="s">
        <v>142</v>
      </c>
    </row>
    <row r="6" spans="1:21" x14ac:dyDescent="0.55000000000000004">
      <c r="A6" s="127"/>
      <c r="B6" s="127"/>
      <c r="C6" s="127"/>
      <c r="D6" s="127"/>
      <c r="E6" s="127"/>
      <c r="F6" s="127"/>
      <c r="G6" s="127"/>
      <c r="H6" s="118"/>
      <c r="I6" s="118"/>
      <c r="J6" s="118"/>
      <c r="K6" s="118"/>
      <c r="N6" t="s">
        <v>4</v>
      </c>
      <c r="R6" t="s">
        <v>143</v>
      </c>
    </row>
    <row r="7" spans="1:21" x14ac:dyDescent="0.55000000000000004">
      <c r="A7" s="123" t="s">
        <v>100</v>
      </c>
      <c r="B7" s="123" t="s">
        <v>96</v>
      </c>
      <c r="C7" s="123" t="s">
        <v>99</v>
      </c>
      <c r="D7" s="124"/>
      <c r="E7" s="123" t="s">
        <v>99</v>
      </c>
      <c r="F7" s="123" t="s">
        <v>96</v>
      </c>
      <c r="G7" s="123" t="s">
        <v>100</v>
      </c>
      <c r="H7" s="125"/>
      <c r="I7" s="123" t="s">
        <v>101</v>
      </c>
      <c r="J7" s="123" t="s">
        <v>96</v>
      </c>
      <c r="K7" s="123" t="s">
        <v>102</v>
      </c>
    </row>
    <row r="8" spans="1:21" x14ac:dyDescent="0.55000000000000004">
      <c r="A8" s="126">
        <v>30</v>
      </c>
      <c r="B8" s="127">
        <v>6.8947572929999996</v>
      </c>
      <c r="C8" s="128">
        <f>A8*B8</f>
        <v>206.84271878999999</v>
      </c>
      <c r="D8" s="127"/>
      <c r="E8" s="126">
        <v>43</v>
      </c>
      <c r="F8" s="127">
        <f>1/B8</f>
        <v>0.14503773773375087</v>
      </c>
      <c r="G8" s="128">
        <f>E8*F8</f>
        <v>6.2366227225512869</v>
      </c>
      <c r="H8" s="118"/>
      <c r="I8" s="126">
        <v>6000</v>
      </c>
      <c r="J8" s="127">
        <v>9.8066499999999994</v>
      </c>
      <c r="K8" s="128">
        <f>I8*J8</f>
        <v>58839.899999999994</v>
      </c>
    </row>
    <row r="9" spans="1:21" x14ac:dyDescent="0.55000000000000004">
      <c r="A9" s="127"/>
      <c r="B9" s="127"/>
      <c r="C9" s="127"/>
      <c r="D9" s="127"/>
      <c r="E9" s="127"/>
      <c r="F9" s="127"/>
      <c r="G9" s="127"/>
      <c r="H9" s="118"/>
      <c r="I9" s="118"/>
      <c r="J9" s="118"/>
      <c r="K9" s="118"/>
    </row>
    <row r="10" spans="1:21" x14ac:dyDescent="0.55000000000000004">
      <c r="A10" s="123" t="s">
        <v>103</v>
      </c>
      <c r="B10" s="123" t="s">
        <v>96</v>
      </c>
      <c r="C10" s="123" t="s">
        <v>104</v>
      </c>
      <c r="D10" s="124"/>
      <c r="E10" s="123" t="s">
        <v>104</v>
      </c>
      <c r="F10" s="123" t="s">
        <v>96</v>
      </c>
      <c r="G10" s="123" t="s">
        <v>103</v>
      </c>
      <c r="H10" s="125"/>
      <c r="I10" s="123" t="s">
        <v>101</v>
      </c>
      <c r="J10" s="123" t="s">
        <v>96</v>
      </c>
      <c r="K10" s="123" t="s">
        <v>104</v>
      </c>
    </row>
    <row r="11" spans="1:21" x14ac:dyDescent="0.55000000000000004">
      <c r="A11" s="126">
        <v>3000</v>
      </c>
      <c r="B11" s="127">
        <v>4.4482216150000002E-3</v>
      </c>
      <c r="C11" s="128">
        <f>A11*B11</f>
        <v>13.344664845</v>
      </c>
      <c r="D11" s="127"/>
      <c r="E11" s="126">
        <v>71</v>
      </c>
      <c r="F11" s="127">
        <f>1/B11</f>
        <v>224.80894311287591</v>
      </c>
      <c r="G11" s="128">
        <f>E11*F11</f>
        <v>15961.434961014189</v>
      </c>
      <c r="H11" s="118"/>
      <c r="I11" s="126">
        <v>910</v>
      </c>
      <c r="J11" s="127">
        <v>9.8066500000000001E-3</v>
      </c>
      <c r="K11" s="128">
        <f>I11*J11</f>
        <v>8.9240515000000009</v>
      </c>
    </row>
    <row r="12" spans="1:21" x14ac:dyDescent="0.55000000000000004">
      <c r="A12" s="127"/>
      <c r="B12" s="127"/>
      <c r="C12" s="127"/>
      <c r="D12" s="127"/>
      <c r="E12" s="127"/>
      <c r="F12" s="127"/>
      <c r="G12" s="127"/>
      <c r="H12" s="118"/>
      <c r="I12" s="118"/>
      <c r="J12" s="118"/>
      <c r="K12" s="118"/>
    </row>
    <row r="13" spans="1:21" x14ac:dyDescent="0.55000000000000004">
      <c r="A13" s="123" t="s">
        <v>105</v>
      </c>
      <c r="B13" s="123" t="s">
        <v>96</v>
      </c>
      <c r="C13" s="123" t="s">
        <v>106</v>
      </c>
      <c r="D13" s="124"/>
      <c r="E13" s="123" t="s">
        <v>106</v>
      </c>
      <c r="F13" s="123" t="s">
        <v>96</v>
      </c>
      <c r="G13" s="123" t="s">
        <v>105</v>
      </c>
      <c r="H13" s="125"/>
      <c r="I13" s="123" t="s">
        <v>101</v>
      </c>
      <c r="J13" s="123" t="s">
        <v>96</v>
      </c>
      <c r="K13" s="123" t="s">
        <v>107</v>
      </c>
    </row>
    <row r="14" spans="1:21" x14ac:dyDescent="0.55000000000000004">
      <c r="A14" s="126">
        <v>110</v>
      </c>
      <c r="B14" s="127">
        <v>16.018460000000001</v>
      </c>
      <c r="C14" s="128">
        <f>A14*B14</f>
        <v>1762.0306</v>
      </c>
      <c r="D14" s="127"/>
      <c r="E14" s="126">
        <v>1850</v>
      </c>
      <c r="F14" s="127">
        <f>1/B14</f>
        <v>6.2427973725314417E-2</v>
      </c>
      <c r="G14" s="128">
        <f>E14*F14</f>
        <v>115.49175139183167</v>
      </c>
      <c r="H14" s="118"/>
      <c r="I14" s="126">
        <v>6400</v>
      </c>
      <c r="J14" s="127">
        <v>2.2048000000000001</v>
      </c>
      <c r="K14" s="128">
        <f>I14*J14</f>
        <v>14110.720000000001</v>
      </c>
    </row>
    <row r="15" spans="1:21" x14ac:dyDescent="0.55000000000000004">
      <c r="A15" s="114"/>
      <c r="B15" s="114"/>
      <c r="C15" s="114"/>
      <c r="D15" s="114"/>
      <c r="E15" s="114"/>
      <c r="F15" s="114"/>
      <c r="G15" s="114"/>
      <c r="H15" s="13"/>
      <c r="I15" s="13"/>
      <c r="J15" s="13"/>
      <c r="K15" s="13"/>
    </row>
    <row r="16" spans="1:21" x14ac:dyDescent="0.55000000000000004">
      <c r="A16" s="123" t="s">
        <v>108</v>
      </c>
      <c r="B16" s="123" t="s">
        <v>96</v>
      </c>
      <c r="C16" s="123" t="s">
        <v>98</v>
      </c>
      <c r="D16" s="124"/>
      <c r="E16" s="123" t="s">
        <v>98</v>
      </c>
      <c r="F16" s="123" t="s">
        <v>96</v>
      </c>
      <c r="G16" s="123" t="s">
        <v>108</v>
      </c>
      <c r="H16" s="13"/>
      <c r="I16" s="13"/>
      <c r="J16" s="13"/>
      <c r="K16" s="13"/>
    </row>
    <row r="17" spans="1:19" x14ac:dyDescent="0.55000000000000004">
      <c r="A17" s="126">
        <v>110</v>
      </c>
      <c r="B17" s="127">
        <v>4.882428</v>
      </c>
      <c r="C17" s="128">
        <f>A17*B17</f>
        <v>537.06708000000003</v>
      </c>
      <c r="D17" s="127"/>
      <c r="E17" s="126">
        <v>5000</v>
      </c>
      <c r="F17" s="127">
        <f>1/B17</f>
        <v>0.20481612836891808</v>
      </c>
      <c r="G17" s="128">
        <f>E17*F17</f>
        <v>1024.0806418445904</v>
      </c>
      <c r="H17" s="13"/>
      <c r="I17" s="13"/>
      <c r="J17" s="13"/>
      <c r="K17" s="13"/>
    </row>
    <row r="18" spans="1:19" x14ac:dyDescent="0.55000000000000004">
      <c r="A18" s="114"/>
      <c r="B18" s="114"/>
      <c r="C18" s="114"/>
      <c r="D18" s="114"/>
      <c r="E18" s="114"/>
      <c r="F18" s="114"/>
      <c r="G18" s="114"/>
      <c r="H18" s="13"/>
      <c r="I18" s="13"/>
      <c r="J18" s="13"/>
      <c r="K18" s="13"/>
      <c r="N18" s="300"/>
      <c r="O18" s="300"/>
      <c r="P18" s="300"/>
      <c r="Q18" s="300"/>
      <c r="R18" s="300"/>
      <c r="S18" s="300"/>
    </row>
    <row r="19" spans="1:19" x14ac:dyDescent="0.55000000000000004">
      <c r="A19" s="123" t="s">
        <v>107</v>
      </c>
      <c r="B19" s="123" t="s">
        <v>96</v>
      </c>
      <c r="C19" s="123" t="s">
        <v>109</v>
      </c>
      <c r="D19" s="114"/>
      <c r="E19" s="123" t="s">
        <v>109</v>
      </c>
      <c r="F19" s="123" t="s">
        <v>96</v>
      </c>
      <c r="G19" s="123" t="s">
        <v>107</v>
      </c>
      <c r="H19" s="13"/>
      <c r="I19" s="13"/>
      <c r="J19" s="13"/>
      <c r="K19" s="13"/>
    </row>
    <row r="20" spans="1:19" x14ac:dyDescent="0.55000000000000004">
      <c r="A20" s="126">
        <v>16000</v>
      </c>
      <c r="B20" s="127">
        <v>0.453592</v>
      </c>
      <c r="C20" s="128">
        <f>A20*B20</f>
        <v>7257.4719999999998</v>
      </c>
      <c r="D20" s="114"/>
      <c r="E20" s="126">
        <v>1</v>
      </c>
      <c r="F20" s="127">
        <v>2.2046199999999998</v>
      </c>
      <c r="G20" s="128">
        <f>E20*F20</f>
        <v>2.2046199999999998</v>
      </c>
      <c r="H20" s="13"/>
      <c r="I20" s="13"/>
      <c r="J20" s="13"/>
      <c r="K20" s="13"/>
    </row>
  </sheetData>
  <mergeCells count="6">
    <mergeCell ref="N18:P18"/>
    <mergeCell ref="Q18:S18"/>
    <mergeCell ref="A1:K1"/>
    <mergeCell ref="A2:C2"/>
    <mergeCell ref="E2:G2"/>
    <mergeCell ref="I2:K2"/>
  </mergeCells>
  <pageMargins left="0.7" right="0.7" top="0.75" bottom="0.75" header="0.3" footer="0.3"/>
  <tableParts count="2">
    <tablePart r:id="rId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Construction Mat</vt:lpstr>
      <vt:lpstr>CBR Correlations</vt:lpstr>
      <vt:lpstr>Research Information</vt:lpstr>
      <vt:lpstr>English Units</vt:lpstr>
      <vt:lpstr>Metric Units</vt:lpstr>
      <vt:lpstr>Data</vt:lpstr>
      <vt:lpstr>AggProduct</vt:lpstr>
      <vt:lpstr>Blank</vt:lpstr>
      <vt:lpstr>'Construction Mat'!Print_Area</vt:lpstr>
      <vt:lpstr>'English Units'!Print_Area</vt:lpstr>
      <vt:lpstr>'Metric Units'!Print_Area</vt:lpstr>
    </vt:vector>
  </TitlesOfParts>
  <Company>Rank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Justice, Sam</dc:creator>
  <cp:lastModifiedBy>Bocskor, Katie L.</cp:lastModifiedBy>
  <cp:lastPrinted>2019-01-09T17:43:43Z</cp:lastPrinted>
  <dcterms:created xsi:type="dcterms:W3CDTF">2017-10-03T16:57:57Z</dcterms:created>
  <dcterms:modified xsi:type="dcterms:W3CDTF">2020-08-27T15:01:04Z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Porous Pavement Calc_final.xlsx</vt:lpwstr>
  </property>
</Properties>
</file>